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36382\OneDrive - ICF\Ft Ord HCP\02_Communications\01_Habitat Working Group\2020-03-13\To HWG\"/>
    </mc:Choice>
  </mc:AlternateContent>
  <xr:revisionPtr revIDLastSave="11" documentId="8_{A32482EC-6EBB-4F0D-A557-A73570F00D3F}" xr6:coauthVersionLast="44" xr6:coauthVersionMax="44" xr10:uidLastSave="{A5503B81-0740-48B1-814D-8B968966C70A}"/>
  <bookViews>
    <workbookView xWindow="22932" yWindow="-1668" windowWidth="23256" windowHeight="12576" xr2:uid="{DB0FB279-E7D1-4094-8B76-53879FECB1C3}"/>
  </bookViews>
  <sheets>
    <sheet name="ALT_1_Allocat. by Acre" sheetId="1" r:id="rId1"/>
    <sheet name="ALT_2_Allocat by Acre, all JDs" sheetId="4" r:id="rId2"/>
    <sheet name="ALT_3_Allocat by Contribution" sheetId="5" r:id="rId3"/>
    <sheet name="HMA Mgmt Activities" sheetId="2" r:id="rId4"/>
    <sheet name="Dev Parcel Habitat Cover"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 i="1" l="1"/>
  <c r="K12" i="5" l="1"/>
  <c r="F11" i="5"/>
  <c r="F10" i="5"/>
  <c r="F9" i="5"/>
  <c r="J11" i="5"/>
  <c r="J10" i="5"/>
  <c r="J9" i="5"/>
  <c r="L18" i="5"/>
  <c r="D19" i="5"/>
  <c r="C21" i="5" l="1"/>
  <c r="B9" i="5"/>
  <c r="F25" i="5"/>
  <c r="F24" i="5"/>
  <c r="B11" i="5"/>
  <c r="L13" i="1" l="1"/>
  <c r="H13" i="1"/>
  <c r="H34" i="4"/>
  <c r="L13" i="4"/>
  <c r="H13" i="4"/>
  <c r="H38" i="4"/>
  <c r="E38" i="4"/>
  <c r="B38" i="4"/>
  <c r="F36" i="4" s="1"/>
  <c r="O38" i="4"/>
  <c r="I37" i="4"/>
  <c r="I36" i="4"/>
  <c r="B36" i="4"/>
  <c r="I35" i="4"/>
  <c r="P34" i="4"/>
  <c r="I34" i="4"/>
  <c r="P33" i="4"/>
  <c r="I33" i="4"/>
  <c r="L33" i="4" s="1"/>
  <c r="I32" i="4"/>
  <c r="L32" i="4" s="1"/>
  <c r="P31" i="4"/>
  <c r="I31" i="4"/>
  <c r="P30" i="4"/>
  <c r="I30" i="4"/>
  <c r="H30" i="4"/>
  <c r="B30" i="4"/>
  <c r="Q26" i="4"/>
  <c r="N26" i="4"/>
  <c r="K26" i="4"/>
  <c r="D26" i="4"/>
  <c r="I14" i="4"/>
  <c r="I18" i="4"/>
  <c r="D10" i="5"/>
  <c r="D12" i="5"/>
  <c r="D13" i="5"/>
  <c r="D14" i="5"/>
  <c r="D15" i="5"/>
  <c r="D16" i="5"/>
  <c r="D17" i="5"/>
  <c r="D18" i="5"/>
  <c r="F22" i="5"/>
  <c r="D9" i="5"/>
  <c r="D11" i="5"/>
  <c r="L34" i="4" l="1"/>
  <c r="C35" i="4"/>
  <c r="F35" i="4"/>
  <c r="C34" i="4"/>
  <c r="F34" i="4"/>
  <c r="C33" i="4"/>
  <c r="F33" i="4"/>
  <c r="C32" i="4"/>
  <c r="F32" i="4"/>
  <c r="C31" i="4"/>
  <c r="F31" i="4"/>
  <c r="C30" i="4"/>
  <c r="F30" i="4"/>
  <c r="C37" i="4"/>
  <c r="F37" i="4"/>
  <c r="C36" i="4"/>
  <c r="L31" i="4"/>
  <c r="I38" i="4"/>
  <c r="L30" i="4"/>
  <c r="E15" i="5"/>
  <c r="E13" i="5" l="1"/>
  <c r="E14" i="5"/>
  <c r="E11" i="5"/>
  <c r="E17" i="5"/>
  <c r="E18" i="5"/>
  <c r="E10" i="5"/>
  <c r="E12" i="5"/>
  <c r="E16" i="5"/>
  <c r="E9" i="5"/>
  <c r="J37" i="4"/>
  <c r="J30" i="4"/>
  <c r="J31" i="4"/>
  <c r="J32" i="4"/>
  <c r="J33" i="4"/>
  <c r="J35" i="4"/>
  <c r="J36" i="4"/>
  <c r="J34" i="4"/>
  <c r="C38" i="4"/>
  <c r="L38" i="4"/>
  <c r="J38" i="4" l="1"/>
  <c r="M30" i="4"/>
  <c r="M31" i="4"/>
  <c r="M33" i="4"/>
  <c r="M35" i="4"/>
  <c r="M37" i="4"/>
  <c r="M32" i="4"/>
  <c r="M36" i="4"/>
  <c r="M34" i="4"/>
  <c r="C19" i="5" l="1"/>
  <c r="B19" i="5"/>
  <c r="C23" i="5" s="1"/>
  <c r="F23" i="5" s="1"/>
  <c r="E19" i="4"/>
  <c r="I17" i="4"/>
  <c r="I16" i="4"/>
  <c r="I15" i="4"/>
  <c r="B15" i="4"/>
  <c r="O19" i="4"/>
  <c r="P13" i="4"/>
  <c r="I13" i="4"/>
  <c r="P12" i="4"/>
  <c r="I12" i="4"/>
  <c r="L12" i="4" s="1"/>
  <c r="I11" i="4"/>
  <c r="P10" i="4"/>
  <c r="I10" i="4"/>
  <c r="L10" i="4" s="1"/>
  <c r="P9" i="4"/>
  <c r="H9" i="4"/>
  <c r="I9" i="4" s="1"/>
  <c r="L9" i="4" s="1"/>
  <c r="B9" i="4"/>
  <c r="B19" i="4" s="1"/>
  <c r="Q5" i="4"/>
  <c r="N5" i="4"/>
  <c r="K5" i="4"/>
  <c r="D5" i="4"/>
  <c r="Q33" i="4" l="1"/>
  <c r="Q31" i="4"/>
  <c r="Q34" i="4"/>
  <c r="Q30" i="4"/>
  <c r="G35" i="4"/>
  <c r="D32" i="4"/>
  <c r="D35" i="4"/>
  <c r="G33" i="4"/>
  <c r="G36" i="4"/>
  <c r="D33" i="4"/>
  <c r="G30" i="4"/>
  <c r="D36" i="4"/>
  <c r="G34" i="4"/>
  <c r="G37" i="4"/>
  <c r="D31" i="4"/>
  <c r="D37" i="4"/>
  <c r="D34" i="4"/>
  <c r="G32" i="4"/>
  <c r="P11" i="4"/>
  <c r="P32" i="4"/>
  <c r="Q32" i="4" s="1"/>
  <c r="C14" i="4"/>
  <c r="D14" i="4" s="1"/>
  <c r="F14" i="4"/>
  <c r="G14" i="4" s="1"/>
  <c r="F18" i="4"/>
  <c r="G18" i="4" s="1"/>
  <c r="C18" i="4"/>
  <c r="D18" i="4" s="1"/>
  <c r="H19" i="4"/>
  <c r="F17" i="4"/>
  <c r="G17" i="4" s="1"/>
  <c r="I19" i="4"/>
  <c r="Q9" i="4"/>
  <c r="Q12" i="4"/>
  <c r="C16" i="4"/>
  <c r="D16" i="4" s="1"/>
  <c r="F16" i="4"/>
  <c r="G16" i="4" s="1"/>
  <c r="C15" i="4"/>
  <c r="D15" i="4" s="1"/>
  <c r="C17" i="4"/>
  <c r="D17" i="4" s="1"/>
  <c r="F15" i="4"/>
  <c r="G15" i="4" s="1"/>
  <c r="Q13" i="4"/>
  <c r="Q10" i="4"/>
  <c r="Q11" i="4"/>
  <c r="L11" i="4"/>
  <c r="L19" i="4" s="1"/>
  <c r="H9" i="1"/>
  <c r="B9" i="1"/>
  <c r="Q38" i="4" l="1"/>
  <c r="J14" i="4"/>
  <c r="K14" i="4" s="1"/>
  <c r="K37" i="4"/>
  <c r="K32" i="4"/>
  <c r="K31" i="4"/>
  <c r="K36" i="4"/>
  <c r="R36" i="4" s="1"/>
  <c r="S36" i="4" s="1"/>
  <c r="K33" i="4"/>
  <c r="K34" i="4"/>
  <c r="K35" i="4"/>
  <c r="D30" i="4"/>
  <c r="D38" i="4" s="1"/>
  <c r="F38" i="4"/>
  <c r="G31" i="4"/>
  <c r="G38" i="4" s="1"/>
  <c r="N36" i="4"/>
  <c r="N37" i="4"/>
  <c r="N35" i="4"/>
  <c r="N32" i="4"/>
  <c r="N33" i="4"/>
  <c r="N34" i="4"/>
  <c r="N31" i="4"/>
  <c r="M18" i="4"/>
  <c r="N18" i="4" s="1"/>
  <c r="M14" i="4"/>
  <c r="N14" i="4" s="1"/>
  <c r="R14" i="4" s="1"/>
  <c r="S14" i="4" s="1"/>
  <c r="J15" i="4"/>
  <c r="K15" i="4" s="1"/>
  <c r="J16" i="4"/>
  <c r="K16" i="4" s="1"/>
  <c r="J18" i="4"/>
  <c r="K18" i="4" s="1"/>
  <c r="J17" i="4"/>
  <c r="K17" i="4" s="1"/>
  <c r="M15" i="4"/>
  <c r="N15" i="4" s="1"/>
  <c r="M17" i="4"/>
  <c r="N17" i="4" s="1"/>
  <c r="M13" i="4"/>
  <c r="N13" i="4" s="1"/>
  <c r="M16" i="4"/>
  <c r="N16" i="4" s="1"/>
  <c r="J9" i="4"/>
  <c r="Q19" i="4"/>
  <c r="M12" i="4"/>
  <c r="N12" i="4" s="1"/>
  <c r="M10" i="4"/>
  <c r="N10" i="4" s="1"/>
  <c r="M9" i="4"/>
  <c r="J11" i="4"/>
  <c r="K11" i="4" s="1"/>
  <c r="M11" i="4"/>
  <c r="N11" i="4" s="1"/>
  <c r="J10" i="4"/>
  <c r="K10" i="4" s="1"/>
  <c r="J12" i="4"/>
  <c r="K12" i="4" s="1"/>
  <c r="F9" i="4"/>
  <c r="C13" i="4"/>
  <c r="D13" i="4" s="1"/>
  <c r="F10" i="4"/>
  <c r="G10" i="4" s="1"/>
  <c r="F13" i="4"/>
  <c r="G13" i="4" s="1"/>
  <c r="C12" i="4"/>
  <c r="D12" i="4" s="1"/>
  <c r="F11" i="4"/>
  <c r="G11" i="4" s="1"/>
  <c r="C10" i="4"/>
  <c r="D10" i="4" s="1"/>
  <c r="F12" i="4"/>
  <c r="G12" i="4" s="1"/>
  <c r="C11" i="4"/>
  <c r="D11" i="4" s="1"/>
  <c r="C9" i="4"/>
  <c r="J13" i="4"/>
  <c r="K13" i="4" s="1"/>
  <c r="P9" i="1"/>
  <c r="P10" i="1"/>
  <c r="P12" i="1"/>
  <c r="P13" i="1"/>
  <c r="R35" i="4" l="1"/>
  <c r="S35" i="4" s="1"/>
  <c r="R32" i="4"/>
  <c r="S32" i="4" s="1"/>
  <c r="R37" i="4"/>
  <c r="S37" i="4" s="1"/>
  <c r="K30" i="4"/>
  <c r="K38" i="4" s="1"/>
  <c r="R34" i="4"/>
  <c r="S34" i="4" s="1"/>
  <c r="R33" i="4"/>
  <c r="S33" i="4" s="1"/>
  <c r="R31" i="4"/>
  <c r="S31" i="4" s="1"/>
  <c r="N30" i="4"/>
  <c r="N38" i="4" s="1"/>
  <c r="M38" i="4"/>
  <c r="R16" i="4"/>
  <c r="S16" i="4" s="1"/>
  <c r="R17" i="4"/>
  <c r="S17" i="4" s="1"/>
  <c r="R15" i="4"/>
  <c r="S15" i="4" s="1"/>
  <c r="R18" i="4"/>
  <c r="S18" i="4" s="1"/>
  <c r="D9" i="4"/>
  <c r="D19" i="4" s="1"/>
  <c r="C19" i="4"/>
  <c r="G9" i="4"/>
  <c r="G19" i="4" s="1"/>
  <c r="F19" i="4"/>
  <c r="N9" i="4"/>
  <c r="N19" i="4" s="1"/>
  <c r="M19" i="4"/>
  <c r="K9" i="4"/>
  <c r="K19" i="4" s="1"/>
  <c r="J19" i="4"/>
  <c r="R10" i="4"/>
  <c r="S10" i="4" s="1"/>
  <c r="R13" i="4"/>
  <c r="S13" i="4" s="1"/>
  <c r="R11" i="4"/>
  <c r="S11" i="4" s="1"/>
  <c r="R12" i="4"/>
  <c r="S12" i="4" s="1"/>
  <c r="D5" i="1"/>
  <c r="N5" i="1"/>
  <c r="R30" i="4" l="1"/>
  <c r="R9" i="4"/>
  <c r="S9" i="4" s="1"/>
  <c r="S19" i="4" s="1"/>
  <c r="Q5" i="1"/>
  <c r="K5" i="1"/>
  <c r="R38" i="4" l="1"/>
  <c r="S30" i="4"/>
  <c r="S38" i="4" s="1"/>
  <c r="R19" i="4"/>
  <c r="E14" i="1"/>
  <c r="J9" i="3"/>
  <c r="H9" i="3"/>
  <c r="F9" i="3"/>
  <c r="D9" i="3"/>
  <c r="O14" i="1"/>
  <c r="P11" i="1" s="1"/>
  <c r="B14" i="1"/>
  <c r="C10" i="1" l="1"/>
  <c r="C12" i="1"/>
  <c r="D12" i="1" s="1"/>
  <c r="F9" i="1"/>
  <c r="F10" i="1"/>
  <c r="G10" i="1" s="1"/>
  <c r="C13" i="1"/>
  <c r="D13" i="1" s="1"/>
  <c r="F11" i="1"/>
  <c r="G11" i="1" s="1"/>
  <c r="C9" i="1"/>
  <c r="F13" i="1"/>
  <c r="G13" i="1" s="1"/>
  <c r="D10" i="1"/>
  <c r="F12" i="1"/>
  <c r="G12" i="1" s="1"/>
  <c r="C11" i="1"/>
  <c r="D11" i="1" s="1"/>
  <c r="Q9" i="1"/>
  <c r="Q13" i="1"/>
  <c r="Q12" i="1"/>
  <c r="Q11" i="1"/>
  <c r="Q10" i="1"/>
  <c r="J6" i="3"/>
  <c r="J7" i="3"/>
  <c r="J8" i="3"/>
  <c r="H6" i="3"/>
  <c r="H7" i="3"/>
  <c r="H8" i="3"/>
  <c r="F6" i="3"/>
  <c r="F7" i="3"/>
  <c r="F8" i="3"/>
  <c r="J5" i="3"/>
  <c r="H5" i="3"/>
  <c r="F5" i="3"/>
  <c r="D6" i="3"/>
  <c r="D7" i="3"/>
  <c r="D8" i="3"/>
  <c r="D5" i="3"/>
  <c r="I9" i="3"/>
  <c r="G9" i="3"/>
  <c r="E9" i="3"/>
  <c r="C9" i="3"/>
  <c r="D9" i="1" l="1"/>
  <c r="C14" i="1"/>
  <c r="G9" i="1"/>
  <c r="F14" i="1"/>
  <c r="G14" i="1"/>
  <c r="D14" i="1"/>
  <c r="Q14" i="1"/>
  <c r="O31" i="2"/>
  <c r="I20" i="2"/>
  <c r="I19" i="2"/>
  <c r="H21" i="2"/>
  <c r="C6" i="2"/>
  <c r="C4" i="2"/>
  <c r="P31" i="2"/>
  <c r="Q31" i="2" s="1"/>
  <c r="N31" i="2"/>
  <c r="Q16" i="2"/>
  <c r="Q17" i="2"/>
  <c r="Q18" i="2"/>
  <c r="Q19" i="2"/>
  <c r="Q20" i="2"/>
  <c r="Q21" i="2"/>
  <c r="Q22" i="2"/>
  <c r="Q23" i="2"/>
  <c r="Q25" i="2"/>
  <c r="Q26" i="2"/>
  <c r="Q27" i="2"/>
  <c r="Q28" i="2"/>
  <c r="Q29" i="2"/>
  <c r="Q30" i="2"/>
  <c r="O16" i="2"/>
  <c r="O17" i="2"/>
  <c r="O18" i="2"/>
  <c r="O19" i="2"/>
  <c r="O20" i="2"/>
  <c r="O21" i="2"/>
  <c r="O22" i="2"/>
  <c r="O23" i="2"/>
  <c r="O25" i="2"/>
  <c r="O26" i="2"/>
  <c r="O27" i="2"/>
  <c r="O28" i="2"/>
  <c r="O29" i="2"/>
  <c r="O30" i="2"/>
  <c r="O15" i="2"/>
  <c r="Q15" i="2"/>
  <c r="I11" i="1" l="1"/>
  <c r="L11" i="1" s="1"/>
  <c r="I12" i="1"/>
  <c r="L12" i="1" s="1"/>
  <c r="I13" i="1"/>
  <c r="I10" i="1"/>
  <c r="L10" i="1" s="1"/>
  <c r="I9" i="1" l="1"/>
  <c r="L9" i="1" s="1"/>
  <c r="L14" i="1" s="1"/>
  <c r="M9" i="1" s="1"/>
  <c r="H14" i="1"/>
  <c r="N9" i="1" l="1"/>
  <c r="M11" i="1"/>
  <c r="N11" i="1" s="1"/>
  <c r="M13" i="1"/>
  <c r="N13" i="1" s="1"/>
  <c r="M12" i="1"/>
  <c r="N12" i="1" s="1"/>
  <c r="M10" i="1"/>
  <c r="N10" i="1" s="1"/>
  <c r="I14" i="1"/>
  <c r="M14" i="1" l="1"/>
  <c r="N14" i="1"/>
  <c r="J13" i="1"/>
  <c r="K13" i="1" s="1"/>
  <c r="R13" i="1" s="1"/>
  <c r="S13" i="1" s="1"/>
  <c r="J11" i="1"/>
  <c r="K11" i="1" s="1"/>
  <c r="R11" i="1" s="1"/>
  <c r="S11" i="1" s="1"/>
  <c r="J10" i="1"/>
  <c r="K10" i="1" s="1"/>
  <c r="R10" i="1" s="1"/>
  <c r="S10" i="1" s="1"/>
  <c r="J12" i="1"/>
  <c r="K12" i="1" s="1"/>
  <c r="R12" i="1" s="1"/>
  <c r="S12" i="1" s="1"/>
  <c r="J9" i="1"/>
  <c r="K9" i="1" l="1"/>
  <c r="J14" i="1"/>
  <c r="K14" i="1"/>
  <c r="R9" i="1"/>
  <c r="R14" i="1" l="1"/>
  <c r="S9" i="1"/>
  <c r="S14" i="1" s="1"/>
  <c r="A5" i="5" l="1"/>
  <c r="F5" i="5" s="1"/>
  <c r="F16" i="5" l="1"/>
  <c r="G16" i="5" s="1"/>
  <c r="H16" i="5" s="1"/>
  <c r="F14" i="5"/>
  <c r="G14" i="5" s="1"/>
  <c r="H14" i="5" s="1"/>
  <c r="G10" i="5"/>
  <c r="H10" i="5" s="1"/>
  <c r="F15" i="5"/>
  <c r="G15" i="5" s="1"/>
  <c r="H15" i="5" s="1"/>
  <c r="F18" i="5"/>
  <c r="G18" i="5" s="1"/>
  <c r="H18" i="5" s="1"/>
  <c r="F12" i="5"/>
  <c r="G12" i="5" s="1"/>
  <c r="H12" i="5" s="1"/>
  <c r="F17" i="5"/>
  <c r="G17" i="5" s="1"/>
  <c r="H17" i="5" s="1"/>
  <c r="F13" i="5"/>
  <c r="G13" i="5" s="1"/>
  <c r="H13" i="5" s="1"/>
  <c r="G11" i="5"/>
  <c r="H11" i="5" s="1"/>
  <c r="K11" i="5" l="1"/>
  <c r="K10" i="5"/>
  <c r="F19" i="5"/>
  <c r="G9" i="5"/>
  <c r="H9" i="5" s="1"/>
  <c r="K9" i="5" l="1"/>
  <c r="H19" i="5"/>
  <c r="G19" i="5"/>
  <c r="K21"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Clueit, Bernadette</author>
    <author>tc={6E75BF70-F623-40C7-BF71-F6A9A9D29343}</author>
  </authors>
  <commentList>
    <comment ref="G3" authorId="0" shapeId="0" xr:uid="{B2FA9AFA-1F24-4427-BA1E-A3C7A60AF82F}">
      <text>
        <r>
          <rPr>
            <b/>
            <sz val="9"/>
            <color indexed="81"/>
            <rFont val="Tahoma"/>
            <family val="2"/>
          </rPr>
          <t>Clueit, Bernadette:</t>
        </r>
        <r>
          <rPr>
            <sz val="9"/>
            <color indexed="81"/>
            <rFont val="Tahoma"/>
            <family val="2"/>
          </rPr>
          <t xml:space="preserve">
Mgmt of Development with Reserve areas must be consistent with reserves.  Therefore, same effort applies.</t>
        </r>
      </text>
    </comment>
    <comment ref="K3" authorId="0" shapeId="0" xr:uid="{1980CE34-4F6D-47C5-8678-6FAF0473B467}">
      <text>
        <r>
          <rPr>
            <b/>
            <sz val="9"/>
            <color indexed="81"/>
            <rFont val="Tahoma"/>
            <family val="2"/>
          </rPr>
          <t>Clueit, Bernadette:</t>
        </r>
        <r>
          <rPr>
            <sz val="9"/>
            <color indexed="81"/>
            <rFont val="Tahoma"/>
            <family val="2"/>
          </rPr>
          <t xml:space="preserve">
Borderland mgmt requires maintenance of firebreaks and vehicle access control along the interface with the reserves.  Other potentially required activities are unknown at this time.</t>
        </r>
      </text>
    </comment>
    <comment ref="Q3" authorId="0" shapeId="0" xr:uid="{FEF08B3C-9864-43E2-90BD-61BBE17419D9}">
      <text>
        <r>
          <rPr>
            <b/>
            <sz val="9"/>
            <color indexed="81"/>
            <rFont val="Tahoma"/>
            <family val="2"/>
          </rPr>
          <t>Clueit, Bernadette:</t>
        </r>
        <r>
          <rPr>
            <sz val="9"/>
            <color indexed="81"/>
            <rFont val="Tahoma"/>
            <family val="2"/>
          </rPr>
          <t xml:space="preserve">
Effort here is assumed to be consistent with a single year survey for a HMA. Presumably a one-time survey effort would be required to identify sensitive species prior to development so that ITPs can be obtained and potential salvage can be determined.  The question remains whether this should be funded by CFD money, or by the potential developer.</t>
        </r>
      </text>
    </comment>
    <comment ref="E7" authorId="1" shapeId="0" xr:uid="{6E75BF70-F623-40C7-BF71-F6A9A9D29343}">
      <text>
        <t>[Threaded comment]
Your version of Excel allows you to read this threaded comment; however, any edits to it will get removed if the file is opened in a newer version of Excel. Learn more: https://go.microsoft.com/fwlink/?linkid=870924
Comment:
    277 acres is not attempting to incorporate future development.  It is an acknowledgement that the County will have to manage those 277 acres with the same level of effort as the HMA management until such time as development occurs.
Reply:
    Ering refers to this as allowable development</t>
      </text>
    </comment>
    <comment ref="L7" authorId="0" shapeId="0" xr:uid="{3CF6C298-5855-4FF7-9AEB-0477ABD781F1}">
      <text>
        <r>
          <rPr>
            <b/>
            <sz val="9"/>
            <color indexed="81"/>
            <rFont val="Tahoma"/>
            <family val="2"/>
          </rPr>
          <t>Clueit, Bernadette:</t>
        </r>
        <r>
          <rPr>
            <sz val="9"/>
            <color indexed="81"/>
            <rFont val="Tahoma"/>
            <family val="2"/>
          </rPr>
          <t xml:space="preserve">
Since Interim management is assumed to be happening across the entire development parcel, but at a lower cost that the management of borderlands (per EH), the acreage of borderlands has been subtracted from the acreage of interim mgmt.  This avoids double allocation of funds on the same acreage.</t>
        </r>
      </text>
    </comment>
    <comment ref="P7" authorId="0" shapeId="0" xr:uid="{75943B0D-36D2-4052-A34D-00990E593A25}">
      <text>
        <r>
          <rPr>
            <b/>
            <sz val="9"/>
            <color indexed="81"/>
            <rFont val="Tahoma"/>
            <family val="2"/>
          </rPr>
          <t>Clueit, Bernadette:</t>
        </r>
        <r>
          <rPr>
            <sz val="9"/>
            <color indexed="81"/>
            <rFont val="Tahoma"/>
            <family val="2"/>
          </rPr>
          <t xml:space="preserve">
This is the percent of the development acreage that has potential as habitat, that may need to have sensitive resources identified and potentially salvaged.  The requirement for identifying sensitive resources is from the Biological Opinion.</t>
        </r>
      </text>
    </comment>
    <comment ref="A9" authorId="0" shapeId="0" xr:uid="{36DC6996-E5DC-4B12-9A19-4B949DCCF589}">
      <text>
        <r>
          <rPr>
            <b/>
            <sz val="9"/>
            <color indexed="81"/>
            <rFont val="Tahoma"/>
            <family val="2"/>
          </rPr>
          <t>Clueit, Bernadette:</t>
        </r>
        <r>
          <rPr>
            <sz val="9"/>
            <color indexed="81"/>
            <rFont val="Tahoma"/>
            <family val="2"/>
          </rPr>
          <t xml:space="preserve">
90% of HMA plant and wildlife monitoring effort</t>
        </r>
      </text>
    </comment>
    <comment ref="A11" authorId="0" shapeId="0" xr:uid="{A34A0646-2547-4E30-AF23-0FDF08C118AC}">
      <text>
        <r>
          <rPr>
            <b/>
            <sz val="9"/>
            <color indexed="81"/>
            <rFont val="Tahoma"/>
            <family val="2"/>
          </rPr>
          <t>Clueit, Bernadette:</t>
        </r>
        <r>
          <rPr>
            <sz val="9"/>
            <color indexed="81"/>
            <rFont val="Tahoma"/>
            <family val="2"/>
          </rPr>
          <t xml:space="preserve">
10% of HMA plant and wildlife monitoring effort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Clueit, Bernadette</author>
  </authors>
  <commentList>
    <comment ref="G3" authorId="0" shapeId="0" xr:uid="{0D2B0AB2-663E-41E6-9AA6-B82894494B17}">
      <text>
        <r>
          <rPr>
            <b/>
            <sz val="9"/>
            <color indexed="81"/>
            <rFont val="Tahoma"/>
            <family val="2"/>
          </rPr>
          <t>Clueit, Bernadette:</t>
        </r>
        <r>
          <rPr>
            <sz val="9"/>
            <color indexed="81"/>
            <rFont val="Tahoma"/>
            <family val="2"/>
          </rPr>
          <t xml:space="preserve">
Mgmt of Development with Reserve areas must be consistent with reserves.  Therefore, same effort applies.</t>
        </r>
      </text>
    </comment>
    <comment ref="K3" authorId="0" shapeId="0" xr:uid="{B8C5C396-5B2A-4E9F-B004-BC2C64FB20D3}">
      <text>
        <r>
          <rPr>
            <b/>
            <sz val="9"/>
            <color indexed="81"/>
            <rFont val="Tahoma"/>
            <family val="2"/>
          </rPr>
          <t>Clueit, Bernadette:</t>
        </r>
        <r>
          <rPr>
            <sz val="9"/>
            <color indexed="81"/>
            <rFont val="Tahoma"/>
            <family val="2"/>
          </rPr>
          <t xml:space="preserve">
Borderland mgmt requires maintenance of firebreaks and vehicle access control along the interface with the reserves.  Other potentially required activities are unknown at this time.</t>
        </r>
      </text>
    </comment>
    <comment ref="Q3" authorId="0" shapeId="0" xr:uid="{1DBF89E0-F956-49E9-AFD1-5262ACDDF6CD}">
      <text>
        <r>
          <rPr>
            <b/>
            <sz val="9"/>
            <color indexed="81"/>
            <rFont val="Tahoma"/>
            <family val="2"/>
          </rPr>
          <t>Clueit, Bernadette:</t>
        </r>
        <r>
          <rPr>
            <sz val="9"/>
            <color indexed="81"/>
            <rFont val="Tahoma"/>
            <family val="2"/>
          </rPr>
          <t xml:space="preserve">
Effort here is assumed to be consistent with a single year survey for a HMA. Presumably a one-time survey effort would be required to identify sensitive species prior to development so that ITPs can be obtained and potential salvage can be determined.  The question remains whether this should be funded by CFD money, or by the potential developer.</t>
        </r>
      </text>
    </comment>
    <comment ref="L7" authorId="0" shapeId="0" xr:uid="{8B81D4F5-DC8C-4FF7-8926-6FFBC5A23E12}">
      <text>
        <r>
          <rPr>
            <b/>
            <sz val="9"/>
            <color indexed="81"/>
            <rFont val="Tahoma"/>
            <family val="2"/>
          </rPr>
          <t>Clueit, Bernadette:</t>
        </r>
        <r>
          <rPr>
            <sz val="9"/>
            <color indexed="81"/>
            <rFont val="Tahoma"/>
            <family val="2"/>
          </rPr>
          <t xml:space="preserve">
Since Interim management is assumed to be happening across the entire development parcel, but at a lower cost that the management of borderlands (per EH), the acreage of borderlands has been subtracted from the acreage of interim mgmt.  This avoids double allocation of funds on the same acreage.</t>
        </r>
      </text>
    </comment>
    <comment ref="P7" authorId="0" shapeId="0" xr:uid="{F28D8B14-6D0B-4941-AF30-FE41B9E6D253}">
      <text>
        <r>
          <rPr>
            <b/>
            <sz val="9"/>
            <color indexed="81"/>
            <rFont val="Tahoma"/>
            <family val="2"/>
          </rPr>
          <t>Clueit, Bernadette:</t>
        </r>
        <r>
          <rPr>
            <sz val="9"/>
            <color indexed="81"/>
            <rFont val="Tahoma"/>
            <family val="2"/>
          </rPr>
          <t xml:space="preserve">
This is the percent of the development acreage that has potential as habitat, that may need to have sensitive resources identified and potentially salvaged.  The requirement for identifying sensitive resources is from the Biological Opinion.</t>
        </r>
      </text>
    </comment>
    <comment ref="G24" authorId="0" shapeId="0" xr:uid="{65DD4CED-46AA-46B5-B504-A0AD554CABE3}">
      <text>
        <r>
          <rPr>
            <b/>
            <sz val="9"/>
            <color indexed="81"/>
            <rFont val="Tahoma"/>
            <family val="2"/>
          </rPr>
          <t>Clueit, Bernadette:</t>
        </r>
        <r>
          <rPr>
            <sz val="9"/>
            <color indexed="81"/>
            <rFont val="Tahoma"/>
            <family val="2"/>
          </rPr>
          <t xml:space="preserve">
Mgmt of Development with Reserve areas must be consistent with reserves.  Therefore, same effort applies.</t>
        </r>
      </text>
    </comment>
    <comment ref="K24" authorId="0" shapeId="0" xr:uid="{8ECC968C-8A5A-4C73-9F32-5EF8E1FFE3DB}">
      <text>
        <r>
          <rPr>
            <b/>
            <sz val="9"/>
            <color indexed="81"/>
            <rFont val="Tahoma"/>
            <family val="2"/>
          </rPr>
          <t>Clueit, Bernadette:</t>
        </r>
        <r>
          <rPr>
            <sz val="9"/>
            <color indexed="81"/>
            <rFont val="Tahoma"/>
            <family val="2"/>
          </rPr>
          <t xml:space="preserve">
Borderland mgmt requires maintenance of firebreaks and vehicle access control along the interface with the reserves.  Other potentially required activities are unknown at this time.</t>
        </r>
      </text>
    </comment>
    <comment ref="Q24" authorId="0" shapeId="0" xr:uid="{6A8B6762-993B-4A64-8256-2E4731D06F8C}">
      <text>
        <r>
          <rPr>
            <b/>
            <sz val="9"/>
            <color indexed="81"/>
            <rFont val="Tahoma"/>
            <family val="2"/>
          </rPr>
          <t>Clueit, Bernadette:</t>
        </r>
        <r>
          <rPr>
            <sz val="9"/>
            <color indexed="81"/>
            <rFont val="Tahoma"/>
            <family val="2"/>
          </rPr>
          <t xml:space="preserve">
Effort here is assumed to be consistent with a single year survey for a HMA. Presumably a one-time survey effort would be required to identify sensitive species prior to development so that ITPs can be obtained and potential salvage can be determined.  The question remains whether this should be funded by CFD money, or by the potential developer.</t>
        </r>
      </text>
    </comment>
    <comment ref="L28" authorId="0" shapeId="0" xr:uid="{3CB58A1E-C17C-4873-A429-44373878F2DF}">
      <text>
        <r>
          <rPr>
            <b/>
            <sz val="9"/>
            <color indexed="81"/>
            <rFont val="Tahoma"/>
            <family val="2"/>
          </rPr>
          <t>Clueit, Bernadette:</t>
        </r>
        <r>
          <rPr>
            <sz val="9"/>
            <color indexed="81"/>
            <rFont val="Tahoma"/>
            <family val="2"/>
          </rPr>
          <t xml:space="preserve">
Since Interim management is assumed to be happening across the entire development parcel, but at a lower cost that the management of borderlands (per EH), the acreage of borderlands has been subtracted from the acreage of interim mgmt.  This avoids double allocation of funds on the same acreage.</t>
        </r>
      </text>
    </comment>
    <comment ref="P28" authorId="0" shapeId="0" xr:uid="{C2297644-6DDA-4FD8-B254-52D6FF02F1F6}">
      <text>
        <r>
          <rPr>
            <b/>
            <sz val="9"/>
            <color indexed="81"/>
            <rFont val="Tahoma"/>
            <family val="2"/>
          </rPr>
          <t>Clueit, Bernadette:</t>
        </r>
        <r>
          <rPr>
            <sz val="9"/>
            <color indexed="81"/>
            <rFont val="Tahoma"/>
            <family val="2"/>
          </rPr>
          <t xml:space="preserve">
This is the percent of the development acreage that has potential as habitat, that may need to have sensitive resources identified and potentially salvaged.  The requirement for identifying sensitive resources is from the Biological Opinion.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Clueit, Bernadette</author>
  </authors>
  <commentList>
    <comment ref="J9" authorId="0" shapeId="0" xr:uid="{18D7AE0D-F63C-4627-B715-C42C81085377}">
      <text>
        <r>
          <rPr>
            <b/>
            <sz val="9"/>
            <color indexed="81"/>
            <rFont val="Tahoma"/>
            <family val="2"/>
          </rPr>
          <t>Clueit, Bernadette:</t>
        </r>
        <r>
          <rPr>
            <sz val="9"/>
            <color indexed="81"/>
            <rFont val="Tahoma"/>
            <family val="2"/>
          </rPr>
          <t xml:space="preserve">
$755 of "other" funds were collected from T. Forsyth and M. Edelman.  It is unknown when these funds were collected, and what percentage was allocated to habitat managent at the time the funds were collected.
Working backward, a 0.281 allocation was determined, and $212 in additional funds were distributed among the JDs at the established contribution percentages.  Total available funds to be allocated matches the total provided by FORA using this method.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Clueit, Bernadette</author>
  </authors>
  <commentList>
    <comment ref="K2" authorId="0" shapeId="0" xr:uid="{DBE05F7A-C310-4F6E-AECC-11513FF21F56}">
      <text>
        <r>
          <rPr>
            <b/>
            <sz val="9"/>
            <color indexed="81"/>
            <rFont val="Tahoma"/>
            <family val="2"/>
          </rPr>
          <t>Clueit, Bernadette:</t>
        </r>
        <r>
          <rPr>
            <sz val="9"/>
            <color indexed="81"/>
            <rFont val="Tahoma"/>
            <family val="2"/>
          </rPr>
          <t xml:space="preserve">
All numbers provided by EH</t>
        </r>
      </text>
    </comment>
    <comment ref="N12" authorId="0" shapeId="0" xr:uid="{F483989A-6885-4D5E-A3A5-71DEF8D02A5F}">
      <text>
        <r>
          <rPr>
            <b/>
            <sz val="9"/>
            <color indexed="81"/>
            <rFont val="Tahoma"/>
            <family val="2"/>
          </rPr>
          <t>Clueit, Bernadette:</t>
        </r>
        <r>
          <rPr>
            <sz val="9"/>
            <color indexed="81"/>
            <rFont val="Tahoma"/>
            <family val="2"/>
          </rPr>
          <t xml:space="preserve">
Numbers provided by EH</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Clueit, Bernadette</author>
  </authors>
  <commentList>
    <comment ref="C2" authorId="0" shapeId="0" xr:uid="{D0D0F0BE-072D-435C-AF83-9B5D0195B8D5}">
      <text>
        <r>
          <rPr>
            <b/>
            <sz val="9"/>
            <color indexed="81"/>
            <rFont val="Tahoma"/>
            <family val="2"/>
          </rPr>
          <t>Clueit, Bernadette:</t>
        </r>
        <r>
          <rPr>
            <sz val="9"/>
            <color indexed="81"/>
            <rFont val="Tahoma"/>
            <family val="2"/>
          </rPr>
          <t xml:space="preserve">
Numbers provided by EH</t>
        </r>
      </text>
    </comment>
  </commentList>
</comments>
</file>

<file path=xl/sharedStrings.xml><?xml version="1.0" encoding="utf-8"?>
<sst xmlns="http://schemas.openxmlformats.org/spreadsheetml/2006/main" count="272" uniqueCount="105">
  <si>
    <t>Jurisdiction</t>
  </si>
  <si>
    <t>Monterey County</t>
  </si>
  <si>
    <t>Seaside</t>
  </si>
  <si>
    <t>Marina</t>
  </si>
  <si>
    <t>Monterey City</t>
  </si>
  <si>
    <t>Del Rey Oaks</t>
  </si>
  <si>
    <t>Plants - Group 1</t>
  </si>
  <si>
    <t>Plants - Group 2</t>
  </si>
  <si>
    <t>Plants - Group 3</t>
  </si>
  <si>
    <t>Assumptions &amp; Notes</t>
  </si>
  <si>
    <t>Notes</t>
  </si>
  <si>
    <t>HMA % of Total</t>
  </si>
  <si>
    <t>Total</t>
  </si>
  <si>
    <t>HMA</t>
  </si>
  <si>
    <t>acres</t>
  </si>
  <si>
    <t>HMA Mgmt Multiplier</t>
  </si>
  <si>
    <t xml:space="preserve">Development </t>
  </si>
  <si>
    <t>Borderland</t>
  </si>
  <si>
    <t>Borderland Multiplier</t>
  </si>
  <si>
    <t>Interim Mgmt Multiplier</t>
  </si>
  <si>
    <t xml:space="preserve">Borderland </t>
  </si>
  <si>
    <t>linear ft</t>
  </si>
  <si>
    <t>Development Multiplier</t>
  </si>
  <si>
    <t>DwR Multiplier (same as HMA)</t>
  </si>
  <si>
    <t># species</t>
  </si>
  <si>
    <t>Restoration</t>
  </si>
  <si>
    <t>Habitat Enhancement</t>
  </si>
  <si>
    <t xml:space="preserve">Abundance Sampling      </t>
  </si>
  <si>
    <t>Wildlife P/A surveys</t>
  </si>
  <si>
    <t>Plant seedlings in coast live oak woodland (10% of total every yr)</t>
  </si>
  <si>
    <t>Aerial Mapping every 10 years</t>
  </si>
  <si>
    <t>Group 1 Plant Species: Sand gilia, Monterey spineflower, seaside bird's-beak</t>
  </si>
  <si>
    <t>Group 2 Plant Species: Maritime Chapparral</t>
  </si>
  <si>
    <t>Group 3 Plant Species: Coast Wallflower</t>
  </si>
  <si>
    <t>Species</t>
  </si>
  <si>
    <t>Sand gilia</t>
  </si>
  <si>
    <t>Monterey Spineflower</t>
  </si>
  <si>
    <t>Seaside bird's beak</t>
  </si>
  <si>
    <t>Eastwood's ericameria</t>
  </si>
  <si>
    <t>Hooker's manzanita</t>
  </si>
  <si>
    <t>Toro manzanita</t>
  </si>
  <si>
    <t>Coast Wallflower</t>
  </si>
  <si>
    <t>Monterey ceanothus</t>
  </si>
  <si>
    <t>Sandmat manzanita</t>
  </si>
  <si>
    <t>Plants</t>
  </si>
  <si>
    <t>Animals</t>
  </si>
  <si>
    <t>Smith's blue butterfly</t>
  </si>
  <si>
    <t>California tiger salamander</t>
  </si>
  <si>
    <t>California red-legged frog</t>
  </si>
  <si>
    <t>Black legless lizard</t>
  </si>
  <si>
    <t>Linderiella</t>
  </si>
  <si>
    <t>Monterey ornate shrew</t>
  </si>
  <si>
    <t>%</t>
  </si>
  <si>
    <t>Overall totals</t>
  </si>
  <si>
    <t>Acres of Habitat</t>
  </si>
  <si>
    <t xml:space="preserve">% </t>
  </si>
  <si>
    <t>MOCO has 91% of the plant/wildlife monitoring effort and 89% of the aerial mapping effort</t>
  </si>
  <si>
    <t>Marina has 9% of the plant/wildlife monitoring effort, and 11% of the aerial mapping effort</t>
  </si>
  <si>
    <t>mapping</t>
  </si>
  <si>
    <t>Monterey  City</t>
  </si>
  <si>
    <t>Habitat Type</t>
  </si>
  <si>
    <t>Maritime Chaparral</t>
  </si>
  <si>
    <t>Coast live oak woodland/savannah</t>
  </si>
  <si>
    <t>Grassland</t>
  </si>
  <si>
    <t>Wetland and open water</t>
  </si>
  <si>
    <t>Potential Habitat</t>
  </si>
  <si>
    <t>HMA Monitoring Effort</t>
  </si>
  <si>
    <t>HMA Monitoring Allocation</t>
  </si>
  <si>
    <t>$</t>
  </si>
  <si>
    <t>Development Allocation</t>
  </si>
  <si>
    <t>DwR Allocation</t>
  </si>
  <si>
    <t>Borderland Allocation</t>
  </si>
  <si>
    <t>Interim Mgmt Allocation</t>
  </si>
  <si>
    <t>DWR Monitoring Effort</t>
  </si>
  <si>
    <t>Borderland Effort</t>
  </si>
  <si>
    <t>Total Allocation</t>
  </si>
  <si>
    <t>Percent</t>
  </si>
  <si>
    <t>1. HMA Mgmt Allocation and DwR Allocation are all coming from the same pot of 70% of the money, so they are grouped together in the table.</t>
  </si>
  <si>
    <t>3. Borderlands acreage  calculated from linear feet assuming a 100 ft wide area to be maintained.</t>
  </si>
  <si>
    <t>4. p. 4-1 of the HMP: "In general, landowners are expected to fund management of biological resources on reserve parcels".</t>
  </si>
  <si>
    <t>5. p. 4-3 of the HMP "Development with Reserve Areas: for development parcels that have habitat reserve areas within their boundaries, the management practices must be consistent with maintenance of the reserves".</t>
  </si>
  <si>
    <t>6. p. 4-3 of HMP: " Borderland Development Areas: Management requirements such as fire breaks and limitation to vehicle access are required along the the NRMA interface.  Remaining portions of these parcels have no management restrictions"</t>
  </si>
  <si>
    <t>8. Interim management cannot be defined at this time because the required activities are unknown.</t>
  </si>
  <si>
    <t>Total Funds to be allocated</t>
  </si>
  <si>
    <t>Interim Mgmt in Development Parcels</t>
  </si>
  <si>
    <t>Interim Mgmt Effort</t>
  </si>
  <si>
    <t>Development with Reserve (DWR)</t>
  </si>
  <si>
    <t>7. p. 4-3 of HMP: "Development lands have no management restrictions placed on them. Sensitive Bio resources within these areas must be identified and may be salvaged for restoration within reserve areas". Assume this cost will be covered by developers. Interim mgnt columns hidden</t>
  </si>
  <si>
    <t>2. Borderland and interim management is 30% cost of baseline HCP management cost, calculations are based on MPC, which is only jurisdiction that we can calculate costs from (baseline is management not including restoration and species monitoring)</t>
  </si>
  <si>
    <t>Monterey Peninsula College</t>
  </si>
  <si>
    <t>University of California</t>
  </si>
  <si>
    <t>Monterey Peninsual Regional Parks</t>
  </si>
  <si>
    <t>State Parks</t>
  </si>
  <si>
    <t>CSUMB</t>
  </si>
  <si>
    <t>Contributions to CFD thru   FY 18-19</t>
  </si>
  <si>
    <t>Contributions to CFD             FY 19-20</t>
  </si>
  <si>
    <t>CFD Funds for Habitat Mgmt</t>
  </si>
  <si>
    <t>To Date Total CFD Contributions</t>
  </si>
  <si>
    <t>Funds Received at 0.25 rate thru FY 6/14</t>
  </si>
  <si>
    <t>Funds Received at 0.302 rate FY 14/15 thru current</t>
  </si>
  <si>
    <t>Total Contribution to Date</t>
  </si>
  <si>
    <t>ALL ENTITIES INCLUDED</t>
  </si>
  <si>
    <t>STATE PARKS AND REGIONAL PARKS EXCLUDED</t>
  </si>
  <si>
    <t>East Garrison (MOCO) CFD Credits FY 14/15 - 16/17</t>
  </si>
  <si>
    <t>Shea (Marina) CFD Credits FY 14/15 - 16/17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</si>
</sst>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00"/>
  </numFmts>
  <fonts count="11" x14ac:knownFonts="1">
    <font>
      <sz val="11"/>
      <color theme="1"/>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sz val="11"/>
      <color theme="1"/>
      <name val="Calibri"/>
      <family val="2"/>
      <scheme val="minor"/>
    </font>
    <font>
      <sz val="9"/>
      <color indexed="81"/>
      <name val="Tahoma"/>
      <family val="2"/>
    </font>
    <font>
      <b/>
      <sz val="9"/>
      <color indexed="81"/>
      <name val="Tahoma"/>
      <family val="2"/>
    </font>
    <font>
      <i/>
      <sz val="11"/>
      <color theme="1"/>
      <name val="Calibri"/>
      <family val="2"/>
      <scheme val="minor"/>
    </font>
    <font>
      <b/>
      <i/>
      <sz val="11"/>
      <color theme="1"/>
      <name val="Calibri"/>
      <family val="2"/>
      <scheme val="minor"/>
    </font>
    <font>
      <sz val="10"/>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7" tint="0.79998168889431442"/>
        <bgColor indexed="64"/>
      </patternFill>
    </fill>
  </fills>
  <borders count="7">
    <border>
      <left/>
      <right/>
      <top/>
      <bottom/>
      <diagonal/>
    </border>
    <border>
      <left/>
      <right/>
      <top style="thin">
        <color indexed="64"/>
      </top>
      <bottom style="medium">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right/>
      <top/>
      <bottom style="double">
        <color indexed="64"/>
      </bottom>
      <diagonal/>
    </border>
    <border>
      <left/>
      <right/>
      <top style="thin">
        <color indexed="64"/>
      </top>
      <bottom style="thin">
        <color indexed="64"/>
      </bottom>
      <diagonal/>
    </border>
  </borders>
  <cellStyleXfs count="3">
    <xf numFmtId="0" fontId="0" fillId="0" borderId="0"/>
    <xf numFmtId="9" fontId="4" fillId="0" borderId="0" applyFont="0" applyFill="0" applyBorder="0" applyAlignment="0" applyProtection="0"/>
    <xf numFmtId="44" fontId="4" fillId="0" borderId="0" applyFont="0" applyFill="0" applyBorder="0" applyAlignment="0" applyProtection="0"/>
  </cellStyleXfs>
  <cellXfs count="150">
    <xf numFmtId="0" fontId="0" fillId="0" borderId="0" xfId="0"/>
    <xf numFmtId="0" fontId="1" fillId="0" borderId="0" xfId="0" applyFont="1" applyAlignment="1">
      <alignment wrapText="1"/>
    </xf>
    <xf numFmtId="0" fontId="0" fillId="0" borderId="0" xfId="0" applyAlignment="1">
      <alignment wrapText="1"/>
    </xf>
    <xf numFmtId="0" fontId="2" fillId="0" borderId="0" xfId="0" applyFont="1" applyAlignment="1">
      <alignment wrapText="1"/>
    </xf>
    <xf numFmtId="0" fontId="0" fillId="0" borderId="0" xfId="0" applyAlignment="1">
      <alignment horizontal="right" wrapText="1"/>
    </xf>
    <xf numFmtId="0" fontId="1" fillId="0" borderId="1" xfId="0" applyFont="1" applyBorder="1" applyAlignment="1">
      <alignment horizontal="right" wrapText="1"/>
    </xf>
    <xf numFmtId="0" fontId="1" fillId="0" borderId="1" xfId="0" applyFont="1" applyBorder="1" applyAlignment="1">
      <alignment horizontal="center"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Border="1" applyAlignment="1">
      <alignment horizontal="center" wrapText="1"/>
    </xf>
    <xf numFmtId="0" fontId="0" fillId="0" borderId="3" xfId="0" applyBorder="1" applyAlignment="1">
      <alignment horizontal="right" wrapText="1"/>
    </xf>
    <xf numFmtId="0" fontId="0" fillId="0" borderId="3" xfId="0" applyBorder="1"/>
    <xf numFmtId="0" fontId="1" fillId="0" borderId="0" xfId="0" applyFont="1" applyAlignment="1">
      <alignment horizontal="right" wrapText="1"/>
    </xf>
    <xf numFmtId="0" fontId="1" fillId="0" borderId="4" xfId="0" applyFont="1" applyBorder="1" applyAlignment="1">
      <alignment horizontal="right" wrapText="1"/>
    </xf>
    <xf numFmtId="0" fontId="1" fillId="0" borderId="4" xfId="0" applyFont="1" applyBorder="1" applyAlignment="1">
      <alignment horizontal="center" wrapText="1"/>
    </xf>
    <xf numFmtId="0" fontId="1" fillId="0" borderId="1" xfId="0" applyFont="1" applyBorder="1" applyAlignment="1">
      <alignment wrapText="1"/>
    </xf>
    <xf numFmtId="0" fontId="1" fillId="0" borderId="4" xfId="0" applyFont="1" applyBorder="1" applyAlignment="1">
      <alignment horizontal="center" vertical="center" wrapText="1"/>
    </xf>
    <xf numFmtId="9" fontId="1" fillId="0" borderId="1" xfId="0" applyNumberFormat="1" applyFont="1" applyBorder="1" applyAlignment="1">
      <alignment horizontal="center" wrapText="1"/>
    </xf>
    <xf numFmtId="2" fontId="0" fillId="0" borderId="0" xfId="0" applyNumberFormat="1"/>
    <xf numFmtId="1" fontId="0" fillId="0" borderId="0" xfId="0" applyNumberFormat="1"/>
    <xf numFmtId="1" fontId="0" fillId="0" borderId="3" xfId="0" applyNumberFormat="1" applyBorder="1"/>
    <xf numFmtId="0" fontId="1" fillId="0" borderId="1" xfId="0" applyFont="1" applyBorder="1" applyAlignment="1">
      <alignment horizontal="center"/>
    </xf>
    <xf numFmtId="0" fontId="7" fillId="0" borderId="0" xfId="0" applyFont="1"/>
    <xf numFmtId="0" fontId="0" fillId="0" borderId="0" xfId="0" applyAlignment="1">
      <alignment horizontal="center"/>
    </xf>
    <xf numFmtId="0" fontId="7" fillId="0" borderId="0" xfId="0" applyFont="1" applyAlignment="1">
      <alignment horizontal="right"/>
    </xf>
    <xf numFmtId="0" fontId="1" fillId="0" borderId="0" xfId="0" applyFont="1" applyAlignment="1"/>
    <xf numFmtId="0" fontId="1" fillId="0" borderId="4" xfId="0" applyFont="1" applyBorder="1" applyAlignment="1">
      <alignment horizontal="center"/>
    </xf>
    <xf numFmtId="0" fontId="1" fillId="0" borderId="5" xfId="0" applyFont="1" applyBorder="1" applyAlignment="1">
      <alignment horizontal="center"/>
    </xf>
    <xf numFmtId="0" fontId="1" fillId="0" borderId="1" xfId="0" applyFont="1" applyBorder="1" applyAlignment="1">
      <alignment horizontal="right"/>
    </xf>
    <xf numFmtId="1" fontId="1" fillId="0" borderId="1" xfId="0" applyNumberFormat="1" applyFont="1" applyBorder="1"/>
    <xf numFmtId="0" fontId="1" fillId="0" borderId="5" xfId="0" applyFont="1" applyBorder="1" applyAlignment="1">
      <alignment horizontal="center" wrapText="1"/>
    </xf>
    <xf numFmtId="0" fontId="8" fillId="0" borderId="5" xfId="0" applyFont="1" applyBorder="1" applyAlignment="1">
      <alignment horizontal="center"/>
    </xf>
    <xf numFmtId="1" fontId="7" fillId="0" borderId="0" xfId="1" applyNumberFormat="1" applyFont="1"/>
    <xf numFmtId="1" fontId="8" fillId="0" borderId="1" xfId="1" applyNumberFormat="1" applyFont="1" applyBorder="1"/>
    <xf numFmtId="1" fontId="7" fillId="0" borderId="0" xfId="0" applyNumberFormat="1" applyFont="1"/>
    <xf numFmtId="1" fontId="8" fillId="0" borderId="1" xfId="0" applyNumberFormat="1" applyFont="1" applyBorder="1"/>
    <xf numFmtId="0" fontId="8" fillId="0" borderId="5" xfId="0" applyFont="1" applyBorder="1" applyAlignment="1">
      <alignment horizontal="center" wrapText="1"/>
    </xf>
    <xf numFmtId="0" fontId="1" fillId="0" borderId="6" xfId="0" applyFont="1" applyBorder="1" applyAlignment="1">
      <alignment horizontal="center"/>
    </xf>
    <xf numFmtId="164" fontId="0" fillId="0" borderId="0" xfId="2" applyNumberFormat="1" applyFont="1" applyAlignment="1">
      <alignment wrapText="1"/>
    </xf>
    <xf numFmtId="164" fontId="1" fillId="0" borderId="0" xfId="2" applyNumberFormat="1" applyFont="1" applyBorder="1" applyAlignment="1">
      <alignment horizontal="center" wrapText="1"/>
    </xf>
    <xf numFmtId="164" fontId="0" fillId="0" borderId="0" xfId="2" applyNumberFormat="1" applyFont="1"/>
    <xf numFmtId="164" fontId="0" fillId="0" borderId="0" xfId="0" applyNumberFormat="1"/>
    <xf numFmtId="2" fontId="0" fillId="0" borderId="3" xfId="0" applyNumberFormat="1" applyBorder="1"/>
    <xf numFmtId="2" fontId="8" fillId="0" borderId="1" xfId="1" applyNumberFormat="1" applyFont="1" applyBorder="1"/>
    <xf numFmtId="2" fontId="8" fillId="0" borderId="1" xfId="0" applyNumberFormat="1" applyFont="1" applyBorder="1"/>
    <xf numFmtId="164" fontId="0" fillId="0" borderId="3" xfId="0" applyNumberFormat="1" applyBorder="1"/>
    <xf numFmtId="0" fontId="1" fillId="0" borderId="6" xfId="0" applyFont="1" applyBorder="1" applyAlignment="1">
      <alignment wrapText="1"/>
    </xf>
    <xf numFmtId="0" fontId="0" fillId="2" borderId="0" xfId="0" applyFill="1"/>
    <xf numFmtId="0" fontId="1" fillId="2" borderId="4" xfId="0" applyFont="1" applyFill="1" applyBorder="1" applyAlignment="1">
      <alignment horizontal="center" vertical="center" wrapText="1"/>
    </xf>
    <xf numFmtId="9" fontId="1" fillId="2" borderId="1" xfId="0" applyNumberFormat="1" applyFont="1" applyFill="1" applyBorder="1" applyAlignment="1">
      <alignment horizontal="center" wrapText="1"/>
    </xf>
    <xf numFmtId="164" fontId="0" fillId="2" borderId="0" xfId="2" applyNumberFormat="1" applyFont="1" applyFill="1"/>
    <xf numFmtId="164" fontId="1" fillId="2" borderId="0" xfId="2" applyNumberFormat="1" applyFont="1" applyFill="1" applyBorder="1" applyAlignment="1">
      <alignment horizontal="center" wrapText="1"/>
    </xf>
    <xf numFmtId="0" fontId="3" fillId="2" borderId="0" xfId="0" applyFont="1" applyFill="1" applyAlignment="1">
      <alignment wrapText="1"/>
    </xf>
    <xf numFmtId="0" fontId="1" fillId="2" borderId="1" xfId="0" applyFont="1" applyFill="1" applyBorder="1" applyAlignment="1">
      <alignment horizontal="center" wrapText="1"/>
    </xf>
    <xf numFmtId="2" fontId="0" fillId="2" borderId="0" xfId="0" applyNumberFormat="1" applyFill="1"/>
    <xf numFmtId="164" fontId="0" fillId="2" borderId="0" xfId="0" applyNumberFormat="1" applyFill="1"/>
    <xf numFmtId="0" fontId="0" fillId="2" borderId="3" xfId="0" applyFill="1" applyBorder="1"/>
    <xf numFmtId="2" fontId="0" fillId="2" borderId="3" xfId="0" applyNumberFormat="1" applyFill="1" applyBorder="1"/>
    <xf numFmtId="164" fontId="0" fillId="2" borderId="3" xfId="0" applyNumberFormat="1" applyFill="1" applyBorder="1"/>
    <xf numFmtId="0" fontId="9" fillId="0" borderId="0" xfId="0" applyFont="1" applyAlignment="1"/>
    <xf numFmtId="3" fontId="0" fillId="2" borderId="0" xfId="0" applyNumberFormat="1" applyFill="1"/>
    <xf numFmtId="3" fontId="0" fillId="2" borderId="3" xfId="0" applyNumberFormat="1" applyFill="1" applyBorder="1"/>
    <xf numFmtId="3" fontId="0" fillId="0" borderId="0" xfId="0" applyNumberFormat="1"/>
    <xf numFmtId="3" fontId="0" fillId="0" borderId="3" xfId="0" applyNumberFormat="1" applyBorder="1"/>
    <xf numFmtId="0" fontId="0" fillId="3" borderId="0" xfId="0" applyFill="1"/>
    <xf numFmtId="0" fontId="1" fillId="3" borderId="4" xfId="0" applyFont="1" applyFill="1" applyBorder="1" applyAlignment="1">
      <alignment horizontal="center" vertical="center" wrapText="1"/>
    </xf>
    <xf numFmtId="9" fontId="1" fillId="3" borderId="1" xfId="1" applyFont="1" applyFill="1" applyBorder="1" applyAlignment="1">
      <alignment horizontal="center" wrapText="1"/>
    </xf>
    <xf numFmtId="164" fontId="1" fillId="3" borderId="0" xfId="2" applyNumberFormat="1" applyFont="1" applyFill="1" applyBorder="1" applyAlignment="1">
      <alignment horizontal="center" wrapText="1"/>
    </xf>
    <xf numFmtId="0" fontId="3" fillId="3" borderId="0" xfId="0" applyFont="1" applyFill="1" applyAlignment="1">
      <alignment wrapText="1"/>
    </xf>
    <xf numFmtId="0" fontId="1" fillId="3" borderId="1" xfId="0" applyFont="1" applyFill="1" applyBorder="1" applyAlignment="1">
      <alignment horizontal="center" wrapText="1"/>
    </xf>
    <xf numFmtId="1" fontId="0" fillId="3" borderId="0" xfId="0" applyNumberFormat="1" applyFill="1"/>
    <xf numFmtId="2" fontId="0" fillId="3" borderId="0" xfId="0" applyNumberFormat="1" applyFill="1"/>
    <xf numFmtId="164" fontId="0" fillId="3" borderId="0" xfId="2" applyNumberFormat="1" applyFont="1" applyFill="1"/>
    <xf numFmtId="1" fontId="0" fillId="3" borderId="3" xfId="0" applyNumberFormat="1" applyFill="1" applyBorder="1"/>
    <xf numFmtId="2" fontId="0" fillId="3" borderId="3" xfId="0" applyNumberFormat="1" applyFill="1" applyBorder="1"/>
    <xf numFmtId="164" fontId="0" fillId="3" borderId="3" xfId="2" applyNumberFormat="1" applyFont="1" applyFill="1" applyBorder="1"/>
    <xf numFmtId="3" fontId="0" fillId="3" borderId="0" xfId="0" applyNumberFormat="1" applyFill="1"/>
    <xf numFmtId="0" fontId="0" fillId="4" borderId="0" xfId="0" applyFill="1"/>
    <xf numFmtId="164" fontId="0" fillId="4" borderId="0" xfId="2" applyNumberFormat="1" applyFont="1" applyFill="1"/>
    <xf numFmtId="0" fontId="3" fillId="4" borderId="0" xfId="0" applyFont="1" applyFill="1" applyAlignment="1">
      <alignment wrapText="1"/>
    </xf>
    <xf numFmtId="0" fontId="1" fillId="4" borderId="4" xfId="0" applyFont="1" applyFill="1" applyBorder="1" applyAlignment="1">
      <alignment horizontal="center" wrapText="1"/>
    </xf>
    <xf numFmtId="0" fontId="1" fillId="4" borderId="1" xfId="0" applyFont="1" applyFill="1" applyBorder="1" applyAlignment="1">
      <alignment horizontal="center" wrapText="1"/>
    </xf>
    <xf numFmtId="0" fontId="0" fillId="5" borderId="0" xfId="0" applyFill="1"/>
    <xf numFmtId="0" fontId="1" fillId="5" borderId="4" xfId="0" applyFont="1" applyFill="1" applyBorder="1" applyAlignment="1">
      <alignment horizontal="center" vertical="center" wrapText="1"/>
    </xf>
    <xf numFmtId="9" fontId="1" fillId="5" borderId="1" xfId="0" applyNumberFormat="1" applyFont="1" applyFill="1" applyBorder="1" applyAlignment="1">
      <alignment horizontal="center" wrapText="1"/>
    </xf>
    <xf numFmtId="164" fontId="0" fillId="5" borderId="0" xfId="2" applyNumberFormat="1" applyFont="1" applyFill="1"/>
    <xf numFmtId="164" fontId="1" fillId="5" borderId="0" xfId="2" applyNumberFormat="1" applyFont="1" applyFill="1" applyBorder="1" applyAlignment="1">
      <alignment horizontal="center" wrapText="1"/>
    </xf>
    <xf numFmtId="0" fontId="3" fillId="5" borderId="0" xfId="0" applyFont="1" applyFill="1" applyAlignment="1">
      <alignment wrapText="1"/>
    </xf>
    <xf numFmtId="0" fontId="1" fillId="5" borderId="1" xfId="0" applyFont="1" applyFill="1" applyBorder="1" applyAlignment="1">
      <alignment horizontal="center" wrapText="1"/>
    </xf>
    <xf numFmtId="3" fontId="0" fillId="5" borderId="0" xfId="0" applyNumberFormat="1" applyFill="1"/>
    <xf numFmtId="1" fontId="0" fillId="5" borderId="0" xfId="0" applyNumberFormat="1" applyFill="1"/>
    <xf numFmtId="2" fontId="0" fillId="5" borderId="0" xfId="0" applyNumberFormat="1" applyFill="1"/>
    <xf numFmtId="3" fontId="0" fillId="5" borderId="3" xfId="0" applyNumberFormat="1" applyFill="1" applyBorder="1"/>
    <xf numFmtId="1" fontId="0" fillId="5" borderId="3" xfId="0" applyNumberFormat="1" applyFill="1" applyBorder="1"/>
    <xf numFmtId="2" fontId="0" fillId="5" borderId="3" xfId="0" applyNumberFormat="1" applyFill="1" applyBorder="1"/>
    <xf numFmtId="164" fontId="0" fillId="5" borderId="3" xfId="2" applyNumberFormat="1" applyFont="1" applyFill="1" applyBorder="1"/>
    <xf numFmtId="164" fontId="1" fillId="4" borderId="0" xfId="0" applyNumberFormat="1" applyFont="1" applyFill="1"/>
    <xf numFmtId="164" fontId="1" fillId="4" borderId="3" xfId="0" applyNumberFormat="1" applyFont="1" applyFill="1" applyBorder="1"/>
    <xf numFmtId="9" fontId="1" fillId="0" borderId="0" xfId="1" applyFont="1"/>
    <xf numFmtId="9" fontId="1" fillId="0" borderId="0" xfId="1" applyNumberFormat="1" applyFont="1"/>
    <xf numFmtId="10" fontId="1" fillId="0" borderId="0" xfId="1" applyNumberFormat="1" applyFont="1"/>
    <xf numFmtId="9" fontId="1" fillId="0" borderId="3" xfId="1" applyNumberFormat="1" applyFont="1" applyBorder="1"/>
    <xf numFmtId="9" fontId="1" fillId="0" borderId="0" xfId="0" applyNumberFormat="1" applyFont="1"/>
    <xf numFmtId="0" fontId="0" fillId="0" borderId="0" xfId="0" applyBorder="1" applyAlignment="1">
      <alignment horizontal="right" wrapText="1"/>
    </xf>
    <xf numFmtId="3" fontId="0" fillId="2" borderId="0" xfId="0" applyNumberFormat="1" applyFill="1" applyBorder="1"/>
    <xf numFmtId="2" fontId="0" fillId="2" borderId="0" xfId="0" applyNumberFormat="1" applyFill="1" applyBorder="1"/>
    <xf numFmtId="164" fontId="0" fillId="2" borderId="0" xfId="0" applyNumberFormat="1" applyFill="1" applyBorder="1"/>
    <xf numFmtId="0" fontId="0" fillId="2" borderId="0" xfId="0" applyFill="1" applyBorder="1"/>
    <xf numFmtId="3" fontId="0" fillId="5" borderId="0" xfId="0" applyNumberFormat="1" applyFill="1" applyBorder="1"/>
    <xf numFmtId="1" fontId="0" fillId="5" borderId="0" xfId="0" applyNumberFormat="1" applyFill="1" applyBorder="1"/>
    <xf numFmtId="2" fontId="0" fillId="5" borderId="0" xfId="0" applyNumberFormat="1" applyFill="1" applyBorder="1"/>
    <xf numFmtId="164" fontId="0" fillId="5" borderId="0" xfId="2" applyNumberFormat="1" applyFont="1" applyFill="1" applyBorder="1"/>
    <xf numFmtId="1" fontId="0" fillId="3" borderId="0" xfId="0" applyNumberFormat="1" applyFill="1" applyBorder="1"/>
    <xf numFmtId="3" fontId="0" fillId="0" borderId="0" xfId="0" applyNumberFormat="1" applyBorder="1"/>
    <xf numFmtId="2" fontId="0" fillId="0" borderId="0" xfId="0" applyNumberFormat="1" applyBorder="1"/>
    <xf numFmtId="164" fontId="0" fillId="0" borderId="0" xfId="0" applyNumberFormat="1" applyBorder="1"/>
    <xf numFmtId="0" fontId="0" fillId="0" borderId="5" xfId="0" applyBorder="1" applyAlignment="1">
      <alignment horizontal="right" wrapText="1"/>
    </xf>
    <xf numFmtId="3" fontId="0" fillId="2" borderId="5" xfId="0" applyNumberFormat="1" applyFill="1" applyBorder="1"/>
    <xf numFmtId="2" fontId="0" fillId="2" borderId="5" xfId="0" applyNumberFormat="1" applyFill="1" applyBorder="1"/>
    <xf numFmtId="164" fontId="0" fillId="2" borderId="5" xfId="0" applyNumberFormat="1" applyFill="1" applyBorder="1"/>
    <xf numFmtId="0" fontId="0" fillId="2" borderId="5" xfId="0" applyFill="1" applyBorder="1"/>
    <xf numFmtId="3" fontId="0" fillId="5" borderId="5" xfId="0" applyNumberFormat="1" applyFill="1" applyBorder="1"/>
    <xf numFmtId="1" fontId="0" fillId="5" borderId="5" xfId="0" applyNumberFormat="1" applyFill="1" applyBorder="1"/>
    <xf numFmtId="2" fontId="0" fillId="5" borderId="5" xfId="0" applyNumberFormat="1" applyFill="1" applyBorder="1"/>
    <xf numFmtId="164" fontId="0" fillId="5" borderId="5" xfId="2" applyNumberFormat="1" applyFont="1" applyFill="1" applyBorder="1"/>
    <xf numFmtId="1" fontId="0" fillId="3" borderId="5" xfId="0" applyNumberFormat="1" applyFill="1" applyBorder="1"/>
    <xf numFmtId="2" fontId="0" fillId="3" borderId="5" xfId="0" applyNumberFormat="1" applyFill="1" applyBorder="1"/>
    <xf numFmtId="164" fontId="0" fillId="3" borderId="5" xfId="2" applyNumberFormat="1" applyFont="1" applyFill="1" applyBorder="1"/>
    <xf numFmtId="3" fontId="0" fillId="0" borderId="5" xfId="0" applyNumberFormat="1" applyBorder="1"/>
    <xf numFmtId="2" fontId="0" fillId="0" borderId="5" xfId="0" applyNumberFormat="1" applyBorder="1"/>
    <xf numFmtId="164" fontId="0" fillId="0" borderId="5" xfId="0" applyNumberFormat="1" applyBorder="1"/>
    <xf numFmtId="164" fontId="1" fillId="4" borderId="5" xfId="0" applyNumberFormat="1" applyFont="1" applyFill="1" applyBorder="1"/>
    <xf numFmtId="9" fontId="1" fillId="0" borderId="5" xfId="1" applyNumberFormat="1" applyFont="1" applyBorder="1"/>
    <xf numFmtId="164" fontId="0" fillId="2" borderId="0" xfId="2" applyNumberFormat="1" applyFont="1" applyFill="1" applyBorder="1"/>
    <xf numFmtId="164" fontId="1" fillId="4" borderId="0" xfId="0" applyNumberFormat="1" applyFont="1" applyFill="1" applyBorder="1"/>
    <xf numFmtId="9" fontId="1" fillId="0" borderId="0" xfId="1" applyNumberFormat="1" applyFont="1" applyBorder="1"/>
    <xf numFmtId="165" fontId="1" fillId="2" borderId="1" xfId="0" applyNumberFormat="1" applyFont="1" applyFill="1" applyBorder="1" applyAlignment="1">
      <alignment horizontal="center" wrapText="1"/>
    </xf>
    <xf numFmtId="0" fontId="1" fillId="0" borderId="0" xfId="0" applyFont="1"/>
    <xf numFmtId="164" fontId="1" fillId="0" borderId="0" xfId="0" applyNumberFormat="1" applyFont="1"/>
    <xf numFmtId="44" fontId="0" fillId="0" borderId="0" xfId="0" applyNumberFormat="1"/>
    <xf numFmtId="164" fontId="0" fillId="2" borderId="3" xfId="2" applyNumberFormat="1" applyFont="1" applyFill="1" applyBorder="1"/>
    <xf numFmtId="2" fontId="0" fillId="3" borderId="0" xfId="0" applyNumberFormat="1" applyFill="1" applyBorder="1"/>
    <xf numFmtId="164" fontId="0" fillId="3" borderId="0" xfId="2" applyNumberFormat="1" applyFont="1" applyFill="1" applyBorder="1"/>
    <xf numFmtId="0" fontId="10" fillId="0" borderId="0" xfId="0" applyFont="1" applyAlignment="1">
      <alignment wrapText="1"/>
    </xf>
    <xf numFmtId="0" fontId="1" fillId="0" borderId="4" xfId="0" applyFont="1" applyBorder="1" applyAlignment="1">
      <alignment wrapText="1"/>
    </xf>
    <xf numFmtId="0" fontId="1" fillId="0" borderId="0" xfId="0" applyFont="1" applyBorder="1" applyAlignment="1">
      <alignment wrapText="1"/>
    </xf>
    <xf numFmtId="0" fontId="0" fillId="0" borderId="0" xfId="0" applyFont="1" applyAlignment="1">
      <alignment horizontal="right" wrapText="1"/>
    </xf>
    <xf numFmtId="0" fontId="3" fillId="0" borderId="2" xfId="0" applyFont="1" applyBorder="1" applyAlignment="1">
      <alignment horizontal="center" wrapText="1"/>
    </xf>
    <xf numFmtId="0" fontId="1" fillId="0" borderId="4" xfId="0" applyFont="1" applyBorder="1" applyAlignment="1">
      <alignment horizontal="center"/>
    </xf>
    <xf numFmtId="0" fontId="1" fillId="0" borderId="6" xfId="0" applyFont="1" applyBorder="1" applyAlignment="1">
      <alignment horizontal="center"/>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Gabbe, Aaron" id="{608932BF-F38F-48F4-BD6A-E5698E303D63}" userId="S::36382@icf.com::1d182cdd-38f0-4ef7-aeed-f918f0714fc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7" dT="2020-03-05T19:18:22.37" personId="{608932BF-F38F-48F4-BD6A-E5698E303D63}" id="{6E75BF70-F623-40C7-BF71-F6A9A9D29343}">
    <text>277 acres is not attempting to incorporate future development.  It is an acknowledgement that the County will have to manage those 277 acres with the same level of effort as the HMA management until such time as development occurs.</text>
  </threadedComment>
  <threadedComment ref="E7" dT="2020-03-05T21:19:58.00" personId="{608932BF-F38F-48F4-BD6A-E5698E303D63}" id="{9D72AD34-A2BE-46CB-B6EF-06B7984E6889}" parentId="{6E75BF70-F623-40C7-BF71-F6A9A9D29343}">
    <text>Ering refers to this as allowable development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1B784-0CC6-4B3D-A16B-C5BC0B1DF614}">
  <dimension ref="A3:S33"/>
  <sheetViews>
    <sheetView tabSelected="1" zoomScale="80" zoomScaleNormal="80" workbookViewId="0">
      <pane xSplit="1" ySplit="7" topLeftCell="B8" activePane="bottomRight" state="frozen"/>
      <selection pane="topRight" activeCell="B1" sqref="B1"/>
      <selection pane="bottomLeft" activeCell="A3" sqref="A3"/>
      <selection pane="bottomRight" activeCell="R9" sqref="R9:S13"/>
    </sheetView>
  </sheetViews>
  <sheetFormatPr defaultRowHeight="14.4" x14ac:dyDescent="0.3"/>
  <cols>
    <col min="1" max="1" width="37.88671875" style="2" customWidth="1"/>
    <col min="3" max="3" width="10.88671875" customWidth="1"/>
    <col min="4" max="4" width="14.44140625" bestFit="1" customWidth="1"/>
    <col min="5" max="8" width="14.33203125" customWidth="1"/>
    <col min="9" max="9" width="14.109375" bestFit="1" customWidth="1"/>
    <col min="10" max="14" width="14.109375" customWidth="1"/>
    <col min="15" max="17" width="14.33203125" hidden="1" customWidth="1"/>
    <col min="18" max="18" width="17.44140625" customWidth="1"/>
  </cols>
  <sheetData>
    <row r="3" spans="1:19" ht="28.8" x14ac:dyDescent="0.3">
      <c r="B3" s="47"/>
      <c r="C3" s="47"/>
      <c r="D3" s="48" t="s">
        <v>15</v>
      </c>
      <c r="E3" s="47"/>
      <c r="F3" s="47"/>
      <c r="G3" s="48" t="s">
        <v>23</v>
      </c>
      <c r="H3" s="82"/>
      <c r="I3" s="82"/>
      <c r="J3" s="82"/>
      <c r="K3" s="83" t="s">
        <v>18</v>
      </c>
      <c r="L3" s="64"/>
      <c r="M3" s="64"/>
      <c r="N3" s="65" t="s">
        <v>19</v>
      </c>
      <c r="Q3" s="16" t="s">
        <v>22</v>
      </c>
      <c r="R3" s="77"/>
    </row>
    <row r="4" spans="1:19" ht="15" thickBot="1" x14ac:dyDescent="0.35">
      <c r="A4" s="2" t="s">
        <v>83</v>
      </c>
      <c r="B4" s="47"/>
      <c r="C4" s="47"/>
      <c r="D4" s="49">
        <v>0.7</v>
      </c>
      <c r="E4" s="47"/>
      <c r="F4" s="47"/>
      <c r="G4" s="49">
        <v>0.7</v>
      </c>
      <c r="H4" s="82"/>
      <c r="I4" s="82"/>
      <c r="J4" s="82"/>
      <c r="K4" s="84">
        <v>0.18</v>
      </c>
      <c r="L4" s="64"/>
      <c r="M4" s="64"/>
      <c r="N4" s="66">
        <v>0.12</v>
      </c>
      <c r="Q4" s="17">
        <v>0</v>
      </c>
      <c r="R4" s="77"/>
    </row>
    <row r="5" spans="1:19" s="40" customFormat="1" ht="37.5" customHeight="1" x14ac:dyDescent="0.3">
      <c r="A5" s="38">
        <v>16601541</v>
      </c>
      <c r="B5" s="50"/>
      <c r="C5" s="50"/>
      <c r="D5" s="51">
        <f>A5*D4</f>
        <v>11621078.699999999</v>
      </c>
      <c r="E5" s="50"/>
      <c r="F5" s="50"/>
      <c r="G5" s="51"/>
      <c r="H5" s="85"/>
      <c r="I5" s="85"/>
      <c r="J5" s="85"/>
      <c r="K5" s="86">
        <f>A5*K4</f>
        <v>2988277.38</v>
      </c>
      <c r="L5" s="67"/>
      <c r="M5" s="67"/>
      <c r="N5" s="67">
        <f>A5*N4</f>
        <v>1992184.92</v>
      </c>
      <c r="Q5" s="39">
        <f>A5*Q4</f>
        <v>0</v>
      </c>
      <c r="R5" s="78"/>
    </row>
    <row r="6" spans="1:19" s="7" customFormat="1" ht="12" x14ac:dyDescent="0.25">
      <c r="B6" s="52"/>
      <c r="C6" s="52"/>
      <c r="D6" s="52"/>
      <c r="E6" s="52"/>
      <c r="F6" s="52"/>
      <c r="G6" s="52"/>
      <c r="H6" s="87"/>
      <c r="I6" s="87"/>
      <c r="J6" s="87"/>
      <c r="K6" s="87"/>
      <c r="L6" s="68"/>
      <c r="M6" s="68"/>
      <c r="N6" s="68"/>
      <c r="R6" s="79"/>
    </row>
    <row r="7" spans="1:19" s="1" customFormat="1" ht="57.6" x14ac:dyDescent="0.3">
      <c r="A7" s="13" t="s">
        <v>0</v>
      </c>
      <c r="B7" s="48" t="s">
        <v>13</v>
      </c>
      <c r="C7" s="48" t="s">
        <v>66</v>
      </c>
      <c r="D7" s="48" t="s">
        <v>67</v>
      </c>
      <c r="E7" s="48" t="s">
        <v>86</v>
      </c>
      <c r="F7" s="48" t="s">
        <v>73</v>
      </c>
      <c r="G7" s="48" t="s">
        <v>70</v>
      </c>
      <c r="H7" s="83" t="s">
        <v>20</v>
      </c>
      <c r="I7" s="83" t="s">
        <v>17</v>
      </c>
      <c r="J7" s="83" t="s">
        <v>74</v>
      </c>
      <c r="K7" s="83" t="s">
        <v>71</v>
      </c>
      <c r="L7" s="65" t="s">
        <v>84</v>
      </c>
      <c r="M7" s="65" t="s">
        <v>85</v>
      </c>
      <c r="N7" s="65" t="s">
        <v>72</v>
      </c>
      <c r="O7" s="16" t="s">
        <v>16</v>
      </c>
      <c r="P7" s="16" t="s">
        <v>65</v>
      </c>
      <c r="Q7" s="16" t="s">
        <v>69</v>
      </c>
      <c r="R7" s="80" t="s">
        <v>75</v>
      </c>
      <c r="S7" s="144" t="s">
        <v>76</v>
      </c>
    </row>
    <row r="8" spans="1:19" s="145" customFormat="1" ht="15" thickBot="1" x14ac:dyDescent="0.35">
      <c r="A8" s="5"/>
      <c r="B8" s="53" t="s">
        <v>14</v>
      </c>
      <c r="C8" s="53" t="s">
        <v>52</v>
      </c>
      <c r="D8" s="49" t="s">
        <v>68</v>
      </c>
      <c r="E8" s="53" t="s">
        <v>14</v>
      </c>
      <c r="F8" s="53" t="s">
        <v>52</v>
      </c>
      <c r="G8" s="49" t="s">
        <v>68</v>
      </c>
      <c r="H8" s="88" t="s">
        <v>21</v>
      </c>
      <c r="I8" s="88" t="s">
        <v>14</v>
      </c>
      <c r="J8" s="88" t="s">
        <v>52</v>
      </c>
      <c r="K8" s="84" t="s">
        <v>68</v>
      </c>
      <c r="L8" s="69" t="s">
        <v>14</v>
      </c>
      <c r="M8" s="69" t="s">
        <v>52</v>
      </c>
      <c r="N8" s="69" t="s">
        <v>68</v>
      </c>
      <c r="O8" s="6" t="s">
        <v>14</v>
      </c>
      <c r="P8" s="6" t="s">
        <v>52</v>
      </c>
      <c r="Q8" s="17" t="s">
        <v>68</v>
      </c>
      <c r="R8" s="81"/>
      <c r="S8" s="15"/>
    </row>
    <row r="9" spans="1:19" x14ac:dyDescent="0.3">
      <c r="A9" s="4" t="s">
        <v>1</v>
      </c>
      <c r="B9" s="60">
        <f>1848-277</f>
        <v>1571</v>
      </c>
      <c r="C9" s="54">
        <f>B9/(B$14+E$14)</f>
        <v>0.75383877159309021</v>
      </c>
      <c r="D9" s="55">
        <f>C9*D$5</f>
        <v>8760419.6917946246</v>
      </c>
      <c r="E9" s="47">
        <v>277</v>
      </c>
      <c r="F9" s="54">
        <f>E9/(B$14+E$14)</f>
        <v>0.13291746641074856</v>
      </c>
      <c r="G9" s="55">
        <f>F9*D$5</f>
        <v>1544644.3377639155</v>
      </c>
      <c r="H9" s="89">
        <f>39000+4500</f>
        <v>43500</v>
      </c>
      <c r="I9" s="90">
        <f>(H9*100)/43560</f>
        <v>99.862258953168038</v>
      </c>
      <c r="J9" s="91">
        <f>I9/I$14</f>
        <v>0.66574839302112021</v>
      </c>
      <c r="K9" s="85">
        <f>J9*K$5</f>
        <v>1989440.8636363633</v>
      </c>
      <c r="L9" s="70">
        <f>793-I9</f>
        <v>693.13774104683193</v>
      </c>
      <c r="M9" s="71">
        <f>L9/L$14</f>
        <v>0.48984999367267273</v>
      </c>
      <c r="N9" s="72">
        <f>M9*N$5</f>
        <v>975871.77045679395</v>
      </c>
      <c r="O9" s="62">
        <v>793</v>
      </c>
      <c r="P9" s="18">
        <f>'Dev Parcel Habitat Cover'!D9</f>
        <v>0.50348258149871028</v>
      </c>
      <c r="Q9" s="41">
        <f>P9*Q$5</f>
        <v>0</v>
      </c>
      <c r="R9" s="96">
        <f>D9+Q9+G9+K9+N9</f>
        <v>13270376.663651697</v>
      </c>
      <c r="S9" s="98">
        <f>(R9/$A$5)</f>
        <v>0.79934607658720946</v>
      </c>
    </row>
    <row r="10" spans="1:19" x14ac:dyDescent="0.3">
      <c r="A10" s="4" t="s">
        <v>2</v>
      </c>
      <c r="B10" s="60">
        <v>0</v>
      </c>
      <c r="C10" s="54">
        <f t="shared" ref="C10:C13" si="0">B10/(B$14+E$14)</f>
        <v>0</v>
      </c>
      <c r="D10" s="55">
        <f t="shared" ref="D10:D13" si="1">C10*D$5</f>
        <v>0</v>
      </c>
      <c r="E10" s="47">
        <v>0</v>
      </c>
      <c r="F10" s="54">
        <f t="shared" ref="F10:F13" si="2">E10/(B$14+E$14)</f>
        <v>0</v>
      </c>
      <c r="G10" s="55">
        <f t="shared" ref="G10:G13" si="3">F10*D$5</f>
        <v>0</v>
      </c>
      <c r="H10" s="89">
        <v>14740</v>
      </c>
      <c r="I10" s="90">
        <f>(H10*100)/43560</f>
        <v>33.838383838383841</v>
      </c>
      <c r="J10" s="91">
        <f>I10/I$14</f>
        <v>0.22558922558922562</v>
      </c>
      <c r="K10" s="85">
        <f>J10*K$5</f>
        <v>674123.18</v>
      </c>
      <c r="L10" s="70">
        <f>423-I10</f>
        <v>389.16161616161617</v>
      </c>
      <c r="M10" s="71">
        <f t="shared" ref="M10:M13" si="4">L10/L$14</f>
        <v>0.2750258771460185</v>
      </c>
      <c r="N10" s="72">
        <f t="shared" ref="N10:N13" si="5">M10*N$5</f>
        <v>547902.40506007068</v>
      </c>
      <c r="O10" s="62">
        <v>423</v>
      </c>
      <c r="P10" s="18">
        <f>'Dev Parcel Habitat Cover'!F9</f>
        <v>0.26817456764219516</v>
      </c>
      <c r="Q10" s="41">
        <f>P10*Q$5</f>
        <v>0</v>
      </c>
      <c r="R10" s="96">
        <f>D10+Q10+G10+K10+N10</f>
        <v>1222025.5850600707</v>
      </c>
      <c r="S10" s="99">
        <f t="shared" ref="S10:S13" si="6">(R10/$A$5)</f>
        <v>7.3609165863582834E-2</v>
      </c>
    </row>
    <row r="11" spans="1:19" x14ac:dyDescent="0.3">
      <c r="A11" s="4" t="s">
        <v>3</v>
      </c>
      <c r="B11" s="60">
        <v>236</v>
      </c>
      <c r="C11" s="54">
        <f t="shared" si="0"/>
        <v>0.11324376199616124</v>
      </c>
      <c r="D11" s="55">
        <f t="shared" si="1"/>
        <v>1316014.6704414587</v>
      </c>
      <c r="E11" s="47">
        <v>0</v>
      </c>
      <c r="F11" s="54">
        <f t="shared" si="2"/>
        <v>0</v>
      </c>
      <c r="G11" s="55">
        <f t="shared" si="3"/>
        <v>0</v>
      </c>
      <c r="H11" s="89">
        <v>0</v>
      </c>
      <c r="I11" s="90">
        <f t="shared" ref="I11:I13" si="7">(H11*100)/43560</f>
        <v>0</v>
      </c>
      <c r="J11" s="91">
        <f>I11/I$14</f>
        <v>0</v>
      </c>
      <c r="K11" s="85">
        <f>J11*K$5</f>
        <v>0</v>
      </c>
      <c r="L11" s="70">
        <f>0-I11</f>
        <v>0</v>
      </c>
      <c r="M11" s="71">
        <f t="shared" si="4"/>
        <v>0</v>
      </c>
      <c r="N11" s="72">
        <f t="shared" si="5"/>
        <v>0</v>
      </c>
      <c r="O11" s="62">
        <v>0</v>
      </c>
      <c r="P11" s="18">
        <f t="shared" ref="P11" si="8">O11/O$14</f>
        <v>0</v>
      </c>
      <c r="Q11" s="41">
        <f>P11*Q$5</f>
        <v>0</v>
      </c>
      <c r="R11" s="96">
        <f>D11+Q11+G11+K11+N11</f>
        <v>1316014.6704414587</v>
      </c>
      <c r="S11" s="99">
        <f t="shared" si="6"/>
        <v>7.9270633397312856E-2</v>
      </c>
    </row>
    <row r="12" spans="1:19" x14ac:dyDescent="0.3">
      <c r="A12" s="4" t="s">
        <v>4</v>
      </c>
      <c r="B12" s="60">
        <v>0</v>
      </c>
      <c r="C12" s="54">
        <f t="shared" si="0"/>
        <v>0</v>
      </c>
      <c r="D12" s="55">
        <f t="shared" si="1"/>
        <v>0</v>
      </c>
      <c r="E12" s="47">
        <v>0</v>
      </c>
      <c r="F12" s="54">
        <f t="shared" si="2"/>
        <v>0</v>
      </c>
      <c r="G12" s="55">
        <f t="shared" si="3"/>
        <v>0</v>
      </c>
      <c r="H12" s="89">
        <v>0</v>
      </c>
      <c r="I12" s="90">
        <f t="shared" si="7"/>
        <v>0</v>
      </c>
      <c r="J12" s="91">
        <f>I12/I$14</f>
        <v>0</v>
      </c>
      <c r="K12" s="85">
        <f>J12*K$5</f>
        <v>0</v>
      </c>
      <c r="L12" s="70">
        <f>32-I12</f>
        <v>32</v>
      </c>
      <c r="M12" s="71">
        <f t="shared" si="4"/>
        <v>2.2614840989399292E-2</v>
      </c>
      <c r="N12" s="72">
        <f t="shared" si="5"/>
        <v>45052.945187279147</v>
      </c>
      <c r="O12" s="62">
        <v>32</v>
      </c>
      <c r="P12" s="18">
        <f>'Dev Parcel Habitat Cover'!H9</f>
        <v>2.1276890384175781E-2</v>
      </c>
      <c r="Q12" s="41">
        <f>P12*Q$5</f>
        <v>0</v>
      </c>
      <c r="R12" s="96">
        <f>D12+Q12+G12+K12+N12</f>
        <v>45052.945187279147</v>
      </c>
      <c r="S12" s="100">
        <f t="shared" si="6"/>
        <v>2.7137809187279148E-3</v>
      </c>
    </row>
    <row r="13" spans="1:19" ht="15" thickBot="1" x14ac:dyDescent="0.35">
      <c r="A13" s="10" t="s">
        <v>5</v>
      </c>
      <c r="B13" s="61">
        <v>0</v>
      </c>
      <c r="C13" s="57">
        <f t="shared" si="0"/>
        <v>0</v>
      </c>
      <c r="D13" s="58">
        <f t="shared" si="1"/>
        <v>0</v>
      </c>
      <c r="E13" s="56">
        <v>0</v>
      </c>
      <c r="F13" s="57">
        <f t="shared" si="2"/>
        <v>0</v>
      </c>
      <c r="G13" s="58">
        <f t="shared" si="3"/>
        <v>0</v>
      </c>
      <c r="H13" s="92">
        <f>6260+840</f>
        <v>7100</v>
      </c>
      <c r="I13" s="93">
        <f t="shared" si="7"/>
        <v>16.299357208448118</v>
      </c>
      <c r="J13" s="94">
        <f>I13/I$14</f>
        <v>0.10866238138965412</v>
      </c>
      <c r="K13" s="95">
        <f>J13*K$5</f>
        <v>324713.33636363636</v>
      </c>
      <c r="L13" s="73">
        <f>(305+12)-I13</f>
        <v>300.7006427915519</v>
      </c>
      <c r="M13" s="74">
        <f t="shared" si="4"/>
        <v>0.21250928819190948</v>
      </c>
      <c r="N13" s="75">
        <f t="shared" si="5"/>
        <v>423357.79929585609</v>
      </c>
      <c r="O13" s="63">
        <v>305</v>
      </c>
      <c r="P13" s="42">
        <f>'Dev Parcel Habitat Cover'!J9</f>
        <v>0.20706596047491876</v>
      </c>
      <c r="Q13" s="45">
        <f>P13*Q$5</f>
        <v>0</v>
      </c>
      <c r="R13" s="97">
        <f>D13+Q13+G13+K13+N13</f>
        <v>748071.13565949246</v>
      </c>
      <c r="S13" s="101">
        <f t="shared" si="6"/>
        <v>4.5060343233166877E-2</v>
      </c>
    </row>
    <row r="14" spans="1:19" x14ac:dyDescent="0.3">
      <c r="A14" s="12" t="s">
        <v>12</v>
      </c>
      <c r="B14" s="60">
        <f t="shared" ref="B14:O14" si="9">SUM(B9:B13)</f>
        <v>1807</v>
      </c>
      <c r="C14" s="54">
        <f t="shared" si="9"/>
        <v>0.86708253358925147</v>
      </c>
      <c r="D14" s="55">
        <f t="shared" si="9"/>
        <v>10076434.362236083</v>
      </c>
      <c r="E14" s="47">
        <f t="shared" si="9"/>
        <v>277</v>
      </c>
      <c r="F14" s="54">
        <f t="shared" si="9"/>
        <v>0.13291746641074856</v>
      </c>
      <c r="G14" s="55">
        <f t="shared" si="9"/>
        <v>1544644.3377639155</v>
      </c>
      <c r="H14" s="89">
        <f t="shared" si="9"/>
        <v>65340</v>
      </c>
      <c r="I14" s="90">
        <f t="shared" si="9"/>
        <v>150</v>
      </c>
      <c r="J14" s="91">
        <f t="shared" si="9"/>
        <v>1</v>
      </c>
      <c r="K14" s="85">
        <f t="shared" si="9"/>
        <v>2988277.38</v>
      </c>
      <c r="L14" s="76">
        <f t="shared" si="9"/>
        <v>1415</v>
      </c>
      <c r="M14" s="71">
        <f t="shared" si="9"/>
        <v>1</v>
      </c>
      <c r="N14" s="72">
        <f t="shared" si="9"/>
        <v>1992184.9200000002</v>
      </c>
      <c r="O14" s="62">
        <f t="shared" si="9"/>
        <v>1553</v>
      </c>
      <c r="Q14" s="41">
        <f>SUM(Q9:Q13)</f>
        <v>0</v>
      </c>
      <c r="R14" s="96">
        <f>SUM(R9:R13)</f>
        <v>16601540.999999998</v>
      </c>
      <c r="S14" s="102">
        <f>SUM(S9:S13)</f>
        <v>0.99999999999999989</v>
      </c>
    </row>
    <row r="17" spans="1:11" x14ac:dyDescent="0.3">
      <c r="D17">
        <f>(B9+E9)/(B11+B9+E9)</f>
        <v>0.88675623800383874</v>
      </c>
    </row>
    <row r="20" spans="1:11" x14ac:dyDescent="0.3">
      <c r="A20" s="1" t="s">
        <v>9</v>
      </c>
    </row>
    <row r="21" spans="1:11" x14ac:dyDescent="0.3">
      <c r="A21" s="59" t="s">
        <v>77</v>
      </c>
    </row>
    <row r="22" spans="1:11" x14ac:dyDescent="0.3">
      <c r="A22" s="59" t="s">
        <v>88</v>
      </c>
    </row>
    <row r="23" spans="1:11" x14ac:dyDescent="0.3">
      <c r="A23" s="59" t="s">
        <v>78</v>
      </c>
      <c r="K23">
        <v>0</v>
      </c>
    </row>
    <row r="24" spans="1:11" x14ac:dyDescent="0.3">
      <c r="A24" s="59" t="s">
        <v>79</v>
      </c>
    </row>
    <row r="25" spans="1:11" x14ac:dyDescent="0.3">
      <c r="A25" s="59" t="s">
        <v>80</v>
      </c>
    </row>
    <row r="26" spans="1:11" x14ac:dyDescent="0.3">
      <c r="A26" s="59" t="s">
        <v>81</v>
      </c>
    </row>
    <row r="27" spans="1:11" x14ac:dyDescent="0.3">
      <c r="A27" s="59" t="s">
        <v>87</v>
      </c>
    </row>
    <row r="28" spans="1:11" x14ac:dyDescent="0.3">
      <c r="A28" s="59" t="s">
        <v>82</v>
      </c>
    </row>
    <row r="29" spans="1:11" x14ac:dyDescent="0.3">
      <c r="A29" s="3"/>
    </row>
    <row r="30" spans="1:11" x14ac:dyDescent="0.3">
      <c r="A30" s="3"/>
    </row>
    <row r="31" spans="1:11" x14ac:dyDescent="0.3">
      <c r="A31" s="3"/>
    </row>
    <row r="32" spans="1:11" x14ac:dyDescent="0.3">
      <c r="A32" s="3"/>
    </row>
    <row r="33" spans="1:1" x14ac:dyDescent="0.3">
      <c r="A33" s="3"/>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A0CB8-59CB-4990-B5B1-984450DD25E0}">
  <dimension ref="A2:S57"/>
  <sheetViews>
    <sheetView zoomScale="70" zoomScaleNormal="70" workbookViewId="0">
      <pane xSplit="1" ySplit="8" topLeftCell="B9" activePane="bottomRight" state="frozen"/>
      <selection pane="topRight" activeCell="B1" sqref="B1"/>
      <selection pane="bottomLeft" activeCell="A9" sqref="A9"/>
      <selection pane="bottomRight" activeCell="A9" sqref="A9:A18"/>
    </sheetView>
  </sheetViews>
  <sheetFormatPr defaultRowHeight="14.4" x14ac:dyDescent="0.3"/>
  <cols>
    <col min="1" max="1" width="37.88671875" style="2" customWidth="1"/>
    <col min="3" max="3" width="10.88671875" customWidth="1"/>
    <col min="4" max="4" width="14.44140625" bestFit="1" customWidth="1"/>
    <col min="5" max="8" width="14.33203125" customWidth="1"/>
    <col min="9" max="9" width="14.109375" bestFit="1" customWidth="1"/>
    <col min="10" max="14" width="14.109375" customWidth="1"/>
    <col min="15" max="17" width="14.33203125" hidden="1" customWidth="1"/>
    <col min="18" max="18" width="17.44140625" customWidth="1"/>
  </cols>
  <sheetData>
    <row r="2" spans="1:19" x14ac:dyDescent="0.3">
      <c r="A2" s="143" t="s">
        <v>101</v>
      </c>
    </row>
    <row r="3" spans="1:19" ht="28.8" x14ac:dyDescent="0.3">
      <c r="B3" s="47"/>
      <c r="C3" s="47"/>
      <c r="D3" s="48" t="s">
        <v>15</v>
      </c>
      <c r="E3" s="47"/>
      <c r="F3" s="47"/>
      <c r="G3" s="48" t="s">
        <v>23</v>
      </c>
      <c r="H3" s="82"/>
      <c r="I3" s="82"/>
      <c r="J3" s="82"/>
      <c r="K3" s="83" t="s">
        <v>18</v>
      </c>
      <c r="L3" s="64"/>
      <c r="M3" s="64"/>
      <c r="N3" s="65" t="s">
        <v>19</v>
      </c>
      <c r="Q3" s="16" t="s">
        <v>22</v>
      </c>
      <c r="R3" s="77"/>
    </row>
    <row r="4" spans="1:19" ht="15" thickBot="1" x14ac:dyDescent="0.35">
      <c r="A4" s="2" t="s">
        <v>83</v>
      </c>
      <c r="B4" s="47"/>
      <c r="C4" s="47"/>
      <c r="D4" s="49">
        <v>0.7</v>
      </c>
      <c r="E4" s="47"/>
      <c r="F4" s="47"/>
      <c r="G4" s="49">
        <v>0.7</v>
      </c>
      <c r="H4" s="82"/>
      <c r="I4" s="82"/>
      <c r="J4" s="82"/>
      <c r="K4" s="84">
        <v>0.18</v>
      </c>
      <c r="L4" s="64"/>
      <c r="M4" s="64"/>
      <c r="N4" s="66">
        <v>0.12</v>
      </c>
      <c r="Q4" s="17">
        <v>0</v>
      </c>
      <c r="R4" s="77"/>
    </row>
    <row r="5" spans="1:19" s="40" customFormat="1" ht="37.5" customHeight="1" x14ac:dyDescent="0.3">
      <c r="A5" s="38">
        <v>16601541</v>
      </c>
      <c r="B5" s="50"/>
      <c r="C5" s="50"/>
      <c r="D5" s="51">
        <f>A5*D4</f>
        <v>11621078.699999999</v>
      </c>
      <c r="E5" s="50"/>
      <c r="F5" s="50"/>
      <c r="G5" s="51"/>
      <c r="H5" s="85"/>
      <c r="I5" s="85"/>
      <c r="J5" s="85"/>
      <c r="K5" s="86">
        <f>A5*K4</f>
        <v>2988277.38</v>
      </c>
      <c r="L5" s="67"/>
      <c r="M5" s="67"/>
      <c r="N5" s="67">
        <f>A5*N4</f>
        <v>1992184.92</v>
      </c>
      <c r="Q5" s="39">
        <f>A5*Q4</f>
        <v>0</v>
      </c>
      <c r="R5" s="78"/>
    </row>
    <row r="6" spans="1:19" s="7" customFormat="1" ht="12" x14ac:dyDescent="0.25">
      <c r="B6" s="52"/>
      <c r="C6" s="52"/>
      <c r="D6" s="52"/>
      <c r="E6" s="52"/>
      <c r="F6" s="52"/>
      <c r="G6" s="52"/>
      <c r="H6" s="87"/>
      <c r="I6" s="87"/>
      <c r="J6" s="87"/>
      <c r="K6" s="87"/>
      <c r="L6" s="68"/>
      <c r="M6" s="68"/>
      <c r="N6" s="68"/>
      <c r="R6" s="79"/>
    </row>
    <row r="7" spans="1:19" s="1" customFormat="1" ht="57.6" x14ac:dyDescent="0.3">
      <c r="A7" s="13" t="s">
        <v>0</v>
      </c>
      <c r="B7" s="48" t="s">
        <v>13</v>
      </c>
      <c r="C7" s="48" t="s">
        <v>66</v>
      </c>
      <c r="D7" s="48" t="s">
        <v>67</v>
      </c>
      <c r="E7" s="48" t="s">
        <v>86</v>
      </c>
      <c r="F7" s="48" t="s">
        <v>73</v>
      </c>
      <c r="G7" s="48" t="s">
        <v>70</v>
      </c>
      <c r="H7" s="83" t="s">
        <v>20</v>
      </c>
      <c r="I7" s="83" t="s">
        <v>17</v>
      </c>
      <c r="J7" s="83" t="s">
        <v>74</v>
      </c>
      <c r="K7" s="83" t="s">
        <v>71</v>
      </c>
      <c r="L7" s="65" t="s">
        <v>84</v>
      </c>
      <c r="M7" s="65" t="s">
        <v>85</v>
      </c>
      <c r="N7" s="65" t="s">
        <v>72</v>
      </c>
      <c r="O7" s="16" t="s">
        <v>16</v>
      </c>
      <c r="P7" s="16" t="s">
        <v>65</v>
      </c>
      <c r="Q7" s="16" t="s">
        <v>69</v>
      </c>
      <c r="R7" s="80" t="s">
        <v>75</v>
      </c>
      <c r="S7" s="144" t="s">
        <v>76</v>
      </c>
    </row>
    <row r="8" spans="1:19" s="145" customFormat="1" ht="15" thickBot="1" x14ac:dyDescent="0.35">
      <c r="A8" s="5"/>
      <c r="B8" s="53" t="s">
        <v>14</v>
      </c>
      <c r="C8" s="53" t="s">
        <v>52</v>
      </c>
      <c r="D8" s="49" t="s">
        <v>68</v>
      </c>
      <c r="E8" s="53" t="s">
        <v>14</v>
      </c>
      <c r="F8" s="53" t="s">
        <v>52</v>
      </c>
      <c r="G8" s="49" t="s">
        <v>68</v>
      </c>
      <c r="H8" s="88" t="s">
        <v>21</v>
      </c>
      <c r="I8" s="88" t="s">
        <v>14</v>
      </c>
      <c r="J8" s="88" t="s">
        <v>52</v>
      </c>
      <c r="K8" s="84" t="s">
        <v>68</v>
      </c>
      <c r="L8" s="69" t="s">
        <v>14</v>
      </c>
      <c r="M8" s="69" t="s">
        <v>52</v>
      </c>
      <c r="N8" s="69" t="s">
        <v>68</v>
      </c>
      <c r="O8" s="6" t="s">
        <v>14</v>
      </c>
      <c r="P8" s="6" t="s">
        <v>52</v>
      </c>
      <c r="Q8" s="17" t="s">
        <v>68</v>
      </c>
      <c r="R8" s="81"/>
      <c r="S8" s="15"/>
    </row>
    <row r="9" spans="1:19" x14ac:dyDescent="0.3">
      <c r="A9" s="4" t="s">
        <v>1</v>
      </c>
      <c r="B9" s="60">
        <f>1848-277</f>
        <v>1571</v>
      </c>
      <c r="C9" s="54">
        <f t="shared" ref="C9:C18" si="0">B9/(B$19+E$19)</f>
        <v>0.40344119157678482</v>
      </c>
      <c r="D9" s="55">
        <f>C9*D$5</f>
        <v>4688421.8381355936</v>
      </c>
      <c r="E9" s="47">
        <v>277</v>
      </c>
      <c r="F9" s="54">
        <f t="shared" ref="F9:F18" si="1">E9/(B$19+E$19)</f>
        <v>7.1135079609655885E-2</v>
      </c>
      <c r="G9" s="55">
        <f>F9*D$5</f>
        <v>826666.35847457626</v>
      </c>
      <c r="H9" s="89">
        <f>39000+4500</f>
        <v>43500</v>
      </c>
      <c r="I9" s="90">
        <f>(H9*100)/43560</f>
        <v>99.862258953168038</v>
      </c>
      <c r="J9" s="91">
        <f t="shared" ref="J9:J18" si="2">I9/I$19</f>
        <v>0.49297370806890295</v>
      </c>
      <c r="K9" s="85">
        <f t="shared" ref="K9:K18" si="3">J9*K$5</f>
        <v>1473142.1807570262</v>
      </c>
      <c r="L9" s="70">
        <f>793-I9</f>
        <v>693.13774104683193</v>
      </c>
      <c r="M9" s="71">
        <f t="shared" ref="M9:M18" si="4">L9/L$19</f>
        <v>0.33680162344355291</v>
      </c>
      <c r="N9" s="72">
        <f>M9*N$5</f>
        <v>670971.11525576457</v>
      </c>
      <c r="O9" s="62">
        <v>793</v>
      </c>
      <c r="P9" s="18">
        <f>'Dev Parcel Habitat Cover'!D9</f>
        <v>0.50348258149871028</v>
      </c>
      <c r="Q9" s="41">
        <f>P9*Q$5</f>
        <v>0</v>
      </c>
      <c r="R9" s="96">
        <f t="shared" ref="R9:R14" si="5">D9+Q9+G9+K9+N9</f>
        <v>7659201.4926229604</v>
      </c>
      <c r="S9" s="98">
        <f>(R9/$A$5)</f>
        <v>0.46135485209613736</v>
      </c>
    </row>
    <row r="10" spans="1:19" x14ac:dyDescent="0.3">
      <c r="A10" s="4" t="s">
        <v>2</v>
      </c>
      <c r="B10" s="60">
        <v>0</v>
      </c>
      <c r="C10" s="54">
        <f t="shared" si="0"/>
        <v>0</v>
      </c>
      <c r="D10" s="55">
        <f t="shared" ref="D10:D17" si="6">C10*D$5</f>
        <v>0</v>
      </c>
      <c r="E10" s="47">
        <v>0</v>
      </c>
      <c r="F10" s="54">
        <f t="shared" si="1"/>
        <v>0</v>
      </c>
      <c r="G10" s="55">
        <f t="shared" ref="G10:G17" si="7">F10*D$5</f>
        <v>0</v>
      </c>
      <c r="H10" s="89">
        <v>14740</v>
      </c>
      <c r="I10" s="90">
        <f>(H10*100)/43560</f>
        <v>33.838383838383841</v>
      </c>
      <c r="J10" s="91">
        <f t="shared" si="2"/>
        <v>0.16704442429737082</v>
      </c>
      <c r="K10" s="85">
        <f t="shared" si="3"/>
        <v>499175.07458295557</v>
      </c>
      <c r="L10" s="70">
        <f>423-I10</f>
        <v>389.16161616161617</v>
      </c>
      <c r="M10" s="71">
        <f t="shared" si="4"/>
        <v>0.1890969952194442</v>
      </c>
      <c r="N10" s="72">
        <f t="shared" ref="N10:N17" si="8">M10*N$5</f>
        <v>376716.18229348882</v>
      </c>
      <c r="O10" s="62">
        <v>423</v>
      </c>
      <c r="P10" s="18">
        <f>'Dev Parcel Habitat Cover'!F9</f>
        <v>0.26817456764219516</v>
      </c>
      <c r="Q10" s="41">
        <f>P10*Q$5</f>
        <v>0</v>
      </c>
      <c r="R10" s="96">
        <f t="shared" si="5"/>
        <v>875891.25687644444</v>
      </c>
      <c r="S10" s="99">
        <f t="shared" ref="S10:S17" si="9">(R10/$A$5)</f>
        <v>5.2759635799860052E-2</v>
      </c>
    </row>
    <row r="11" spans="1:19" x14ac:dyDescent="0.3">
      <c r="A11" s="4" t="s">
        <v>3</v>
      </c>
      <c r="B11" s="60">
        <v>236</v>
      </c>
      <c r="C11" s="54">
        <f t="shared" si="0"/>
        <v>6.0606060606060608E-2</v>
      </c>
      <c r="D11" s="55">
        <f t="shared" si="6"/>
        <v>704307.79999999993</v>
      </c>
      <c r="E11" s="47">
        <v>0</v>
      </c>
      <c r="F11" s="54">
        <f t="shared" si="1"/>
        <v>0</v>
      </c>
      <c r="G11" s="55">
        <f t="shared" si="7"/>
        <v>0</v>
      </c>
      <c r="H11" s="89">
        <v>0</v>
      </c>
      <c r="I11" s="90">
        <f t="shared" ref="I11:I17" si="10">(H11*100)/43560</f>
        <v>0</v>
      </c>
      <c r="J11" s="91">
        <f t="shared" si="2"/>
        <v>0</v>
      </c>
      <c r="K11" s="85">
        <f t="shared" si="3"/>
        <v>0</v>
      </c>
      <c r="L11" s="70">
        <f>0-I11</f>
        <v>0</v>
      </c>
      <c r="M11" s="71">
        <f t="shared" si="4"/>
        <v>0</v>
      </c>
      <c r="N11" s="72">
        <f t="shared" si="8"/>
        <v>0</v>
      </c>
      <c r="O11" s="62">
        <v>0</v>
      </c>
      <c r="P11" s="18">
        <f>O11/O$19</f>
        <v>0</v>
      </c>
      <c r="Q11" s="41">
        <f>P11*Q$5</f>
        <v>0</v>
      </c>
      <c r="R11" s="96">
        <f t="shared" si="5"/>
        <v>704307.79999999993</v>
      </c>
      <c r="S11" s="99">
        <f t="shared" si="9"/>
        <v>4.242424242424242E-2</v>
      </c>
    </row>
    <row r="12" spans="1:19" x14ac:dyDescent="0.3">
      <c r="A12" s="4" t="s">
        <v>4</v>
      </c>
      <c r="B12" s="60">
        <v>0</v>
      </c>
      <c r="C12" s="54">
        <f t="shared" si="0"/>
        <v>0</v>
      </c>
      <c r="D12" s="55">
        <f t="shared" si="6"/>
        <v>0</v>
      </c>
      <c r="E12" s="47">
        <v>0</v>
      </c>
      <c r="F12" s="54">
        <f t="shared" si="1"/>
        <v>0</v>
      </c>
      <c r="G12" s="55">
        <f t="shared" si="7"/>
        <v>0</v>
      </c>
      <c r="H12" s="89">
        <v>0</v>
      </c>
      <c r="I12" s="90">
        <f t="shared" si="10"/>
        <v>0</v>
      </c>
      <c r="J12" s="91">
        <f t="shared" si="2"/>
        <v>0</v>
      </c>
      <c r="K12" s="85">
        <f t="shared" si="3"/>
        <v>0</v>
      </c>
      <c r="L12" s="70">
        <f>32-I12</f>
        <v>32</v>
      </c>
      <c r="M12" s="71">
        <f t="shared" si="4"/>
        <v>1.5549076773566569E-2</v>
      </c>
      <c r="N12" s="72">
        <f t="shared" si="8"/>
        <v>30976.636268221573</v>
      </c>
      <c r="O12" s="62">
        <v>32</v>
      </c>
      <c r="P12" s="18">
        <f>'Dev Parcel Habitat Cover'!H9</f>
        <v>2.1276890384175781E-2</v>
      </c>
      <c r="Q12" s="41">
        <f>P12*Q$5</f>
        <v>0</v>
      </c>
      <c r="R12" s="96">
        <f t="shared" si="5"/>
        <v>30976.636268221573</v>
      </c>
      <c r="S12" s="100">
        <f t="shared" si="9"/>
        <v>1.8658892128279882E-3</v>
      </c>
    </row>
    <row r="13" spans="1:19" ht="15" thickBot="1" x14ac:dyDescent="0.35">
      <c r="A13" s="116" t="s">
        <v>5</v>
      </c>
      <c r="B13" s="117">
        <v>0</v>
      </c>
      <c r="C13" s="118">
        <f t="shared" si="0"/>
        <v>0</v>
      </c>
      <c r="D13" s="119">
        <f t="shared" si="6"/>
        <v>0</v>
      </c>
      <c r="E13" s="120">
        <v>0</v>
      </c>
      <c r="F13" s="118">
        <f t="shared" si="1"/>
        <v>0</v>
      </c>
      <c r="G13" s="119">
        <f t="shared" si="7"/>
        <v>0</v>
      </c>
      <c r="H13" s="121">
        <f>6260+840</f>
        <v>7100</v>
      </c>
      <c r="I13" s="122">
        <f t="shared" si="10"/>
        <v>16.299357208448118</v>
      </c>
      <c r="J13" s="123">
        <f t="shared" si="2"/>
        <v>8.0462375339981865E-2</v>
      </c>
      <c r="K13" s="124">
        <f t="shared" si="3"/>
        <v>240443.89616953762</v>
      </c>
      <c r="L13" s="125">
        <f>(305+12)-I13</f>
        <v>300.7006427915519</v>
      </c>
      <c r="M13" s="126">
        <f t="shared" si="4"/>
        <v>0.14611304314458304</v>
      </c>
      <c r="N13" s="127">
        <f t="shared" si="8"/>
        <v>291084.20116794767</v>
      </c>
      <c r="O13" s="128">
        <v>305</v>
      </c>
      <c r="P13" s="129">
        <f>'Dev Parcel Habitat Cover'!J9</f>
        <v>0.20706596047491876</v>
      </c>
      <c r="Q13" s="130">
        <f>P13*Q$5</f>
        <v>0</v>
      </c>
      <c r="R13" s="131">
        <f t="shared" si="5"/>
        <v>531528.09733748529</v>
      </c>
      <c r="S13" s="132">
        <f t="shared" si="9"/>
        <v>3.2016792738546698E-2</v>
      </c>
    </row>
    <row r="14" spans="1:19" ht="15" thickTop="1" x14ac:dyDescent="0.3">
      <c r="A14" s="103" t="s">
        <v>93</v>
      </c>
      <c r="B14" s="104">
        <v>0</v>
      </c>
      <c r="C14" s="105">
        <f t="shared" si="0"/>
        <v>0</v>
      </c>
      <c r="D14" s="106">
        <f t="shared" ref="D14" si="11">C14*D$5</f>
        <v>0</v>
      </c>
      <c r="E14" s="107">
        <v>0</v>
      </c>
      <c r="F14" s="105">
        <f t="shared" si="1"/>
        <v>0</v>
      </c>
      <c r="G14" s="106">
        <f t="shared" ref="G14" si="12">F14*D$5</f>
        <v>0</v>
      </c>
      <c r="H14" s="108">
        <v>2600</v>
      </c>
      <c r="I14" s="109">
        <f t="shared" ref="I14" si="13">(H14*100)/43560</f>
        <v>5.9687786960514231</v>
      </c>
      <c r="J14" s="110">
        <f t="shared" si="2"/>
        <v>2.9465095194922936E-2</v>
      </c>
      <c r="K14" s="111">
        <f t="shared" si="3"/>
        <v>88049.877470534891</v>
      </c>
      <c r="L14" s="112">
        <v>333</v>
      </c>
      <c r="M14" s="141">
        <f t="shared" si="4"/>
        <v>0.16180758017492711</v>
      </c>
      <c r="N14" s="142">
        <f t="shared" ref="N14" si="14">M14*N$5</f>
        <v>322350.62116618076</v>
      </c>
      <c r="O14" s="113"/>
      <c r="P14" s="114"/>
      <c r="Q14" s="115"/>
      <c r="R14" s="134">
        <f t="shared" si="5"/>
        <v>410400.49863671564</v>
      </c>
      <c r="S14" s="135">
        <f t="shared" ref="S14" si="15">(R14/$A$5)</f>
        <v>2.472062675607738E-2</v>
      </c>
    </row>
    <row r="15" spans="1:19" x14ac:dyDescent="0.3">
      <c r="A15" s="103" t="s">
        <v>90</v>
      </c>
      <c r="B15" s="104">
        <f>606-E15</f>
        <v>598</v>
      </c>
      <c r="C15" s="105">
        <f t="shared" si="0"/>
        <v>0.15356959424756034</v>
      </c>
      <c r="D15" s="106">
        <f t="shared" si="6"/>
        <v>1784644.3406779659</v>
      </c>
      <c r="E15" s="107">
        <v>8</v>
      </c>
      <c r="F15" s="105">
        <f t="shared" si="1"/>
        <v>2.0544427324088342E-3</v>
      </c>
      <c r="G15" s="106">
        <f t="shared" si="7"/>
        <v>23874.840677966102</v>
      </c>
      <c r="H15" s="108">
        <v>0</v>
      </c>
      <c r="I15" s="109">
        <f t="shared" si="10"/>
        <v>0</v>
      </c>
      <c r="J15" s="110">
        <f t="shared" si="2"/>
        <v>0</v>
      </c>
      <c r="K15" s="111">
        <f t="shared" si="3"/>
        <v>0</v>
      </c>
      <c r="L15" s="112">
        <v>0</v>
      </c>
      <c r="M15" s="71">
        <f t="shared" si="4"/>
        <v>0</v>
      </c>
      <c r="N15" s="72">
        <f t="shared" si="8"/>
        <v>0</v>
      </c>
      <c r="O15" s="113"/>
      <c r="P15" s="114"/>
      <c r="Q15" s="115"/>
      <c r="R15" s="96">
        <f t="shared" ref="R15:R18" si="16">D15+Q15+G15+K15+N15</f>
        <v>1808519.181355932</v>
      </c>
      <c r="S15" s="99">
        <f t="shared" si="9"/>
        <v>0.10893682588597842</v>
      </c>
    </row>
    <row r="16" spans="1:19" x14ac:dyDescent="0.3">
      <c r="A16" s="103" t="s">
        <v>89</v>
      </c>
      <c r="B16" s="104">
        <v>206</v>
      </c>
      <c r="C16" s="105">
        <f t="shared" si="0"/>
        <v>5.2901900359527479E-2</v>
      </c>
      <c r="D16" s="106">
        <f t="shared" si="6"/>
        <v>614777.14745762711</v>
      </c>
      <c r="E16" s="107">
        <v>0</v>
      </c>
      <c r="F16" s="105">
        <f t="shared" si="1"/>
        <v>0</v>
      </c>
      <c r="G16" s="106">
        <f t="shared" si="7"/>
        <v>0</v>
      </c>
      <c r="H16" s="108">
        <v>20300</v>
      </c>
      <c r="I16" s="109">
        <f t="shared" si="10"/>
        <v>46.602387511478419</v>
      </c>
      <c r="J16" s="110">
        <f t="shared" si="2"/>
        <v>0.23005439709882139</v>
      </c>
      <c r="K16" s="111">
        <f t="shared" si="3"/>
        <v>687466.35101994558</v>
      </c>
      <c r="L16" s="112">
        <v>310</v>
      </c>
      <c r="M16" s="71">
        <f t="shared" si="4"/>
        <v>0.15063168124392615</v>
      </c>
      <c r="N16" s="72">
        <f t="shared" si="8"/>
        <v>300086.16384839651</v>
      </c>
      <c r="O16" s="113"/>
      <c r="P16" s="114"/>
      <c r="Q16" s="115"/>
      <c r="R16" s="96">
        <f t="shared" si="16"/>
        <v>1602329.662325969</v>
      </c>
      <c r="S16" s="99">
        <f t="shared" si="9"/>
        <v>9.6516923478728214E-2</v>
      </c>
    </row>
    <row r="17" spans="1:19" x14ac:dyDescent="0.3">
      <c r="A17" s="103" t="s">
        <v>91</v>
      </c>
      <c r="B17" s="104">
        <v>19</v>
      </c>
      <c r="C17" s="105">
        <f t="shared" si="0"/>
        <v>4.8793014894709811E-3</v>
      </c>
      <c r="D17" s="106">
        <f t="shared" si="6"/>
        <v>56702.746610169488</v>
      </c>
      <c r="E17" s="107">
        <v>0</v>
      </c>
      <c r="F17" s="105">
        <f t="shared" si="1"/>
        <v>0</v>
      </c>
      <c r="G17" s="106">
        <f t="shared" si="7"/>
        <v>0</v>
      </c>
      <c r="H17" s="108">
        <v>0</v>
      </c>
      <c r="I17" s="109">
        <f t="shared" si="10"/>
        <v>0</v>
      </c>
      <c r="J17" s="110">
        <f t="shared" si="2"/>
        <v>0</v>
      </c>
      <c r="K17" s="111">
        <f t="shared" si="3"/>
        <v>0</v>
      </c>
      <c r="L17" s="112">
        <v>0</v>
      </c>
      <c r="M17" s="71">
        <f t="shared" si="4"/>
        <v>0</v>
      </c>
      <c r="N17" s="72">
        <f t="shared" si="8"/>
        <v>0</v>
      </c>
      <c r="O17" s="113"/>
      <c r="P17" s="114"/>
      <c r="Q17" s="115"/>
      <c r="R17" s="96">
        <f t="shared" si="16"/>
        <v>56702.746610169488</v>
      </c>
      <c r="S17" s="100">
        <f t="shared" si="9"/>
        <v>3.4155110426296867E-3</v>
      </c>
    </row>
    <row r="18" spans="1:19" ht="15" thickBot="1" x14ac:dyDescent="0.35">
      <c r="A18" s="10" t="s">
        <v>92</v>
      </c>
      <c r="B18" s="61">
        <v>837</v>
      </c>
      <c r="C18" s="57">
        <f t="shared" si="0"/>
        <v>0.21494607087827428</v>
      </c>
      <c r="D18" s="58">
        <f t="shared" ref="D18" si="17">C18*D$5</f>
        <v>2497905.2059322032</v>
      </c>
      <c r="E18" s="56">
        <v>142</v>
      </c>
      <c r="F18" s="57">
        <f t="shared" si="1"/>
        <v>3.6466358500256806E-2</v>
      </c>
      <c r="G18" s="58">
        <f t="shared" ref="G18" si="18">F18*D$5</f>
        <v>423778.4220338983</v>
      </c>
      <c r="H18" s="92">
        <v>0</v>
      </c>
      <c r="I18" s="93">
        <f t="shared" ref="I18" si="19">(H18*100)/43560</f>
        <v>0</v>
      </c>
      <c r="J18" s="94">
        <f t="shared" si="2"/>
        <v>0</v>
      </c>
      <c r="K18" s="95">
        <f t="shared" si="3"/>
        <v>0</v>
      </c>
      <c r="L18" s="73">
        <v>0</v>
      </c>
      <c r="M18" s="74">
        <f t="shared" si="4"/>
        <v>0</v>
      </c>
      <c r="N18" s="75">
        <f t="shared" ref="N18" si="20">M18*N$5</f>
        <v>0</v>
      </c>
      <c r="O18" s="63"/>
      <c r="P18" s="42"/>
      <c r="Q18" s="45"/>
      <c r="R18" s="97">
        <f t="shared" si="16"/>
        <v>2921683.6279661013</v>
      </c>
      <c r="S18" s="101">
        <f t="shared" ref="S18" si="21">(R18/$A$5)</f>
        <v>0.17598870056497173</v>
      </c>
    </row>
    <row r="19" spans="1:19" x14ac:dyDescent="0.3">
      <c r="A19" s="12" t="s">
        <v>12</v>
      </c>
      <c r="B19" s="60">
        <f t="shared" ref="B19:N19" si="22">SUM(B9:B18)</f>
        <v>3467</v>
      </c>
      <c r="C19" s="105">
        <f t="shared" si="22"/>
        <v>0.89034411915767842</v>
      </c>
      <c r="D19" s="55">
        <f t="shared" si="22"/>
        <v>10346759.078813558</v>
      </c>
      <c r="E19" s="47">
        <f t="shared" si="22"/>
        <v>427</v>
      </c>
      <c r="F19" s="54">
        <f t="shared" si="22"/>
        <v>0.10965588084232153</v>
      </c>
      <c r="G19" s="55">
        <f t="shared" si="22"/>
        <v>1274319.6211864408</v>
      </c>
      <c r="H19" s="89">
        <f t="shared" si="22"/>
        <v>88240</v>
      </c>
      <c r="I19" s="90">
        <f t="shared" si="22"/>
        <v>202.57116620752984</v>
      </c>
      <c r="J19" s="91">
        <f t="shared" si="22"/>
        <v>0.99999999999999989</v>
      </c>
      <c r="K19" s="85">
        <f t="shared" si="22"/>
        <v>2988277.3799999994</v>
      </c>
      <c r="L19" s="76">
        <f t="shared" si="22"/>
        <v>2058</v>
      </c>
      <c r="M19" s="71">
        <f t="shared" si="22"/>
        <v>1</v>
      </c>
      <c r="N19" s="72">
        <f t="shared" si="22"/>
        <v>1992184.92</v>
      </c>
      <c r="O19" s="62">
        <f>SUM(O9:O13)</f>
        <v>1553</v>
      </c>
      <c r="Q19" s="41">
        <f>SUM(Q9:Q13)</f>
        <v>0</v>
      </c>
      <c r="R19" s="96">
        <f>SUM(R9:R18)</f>
        <v>16601541</v>
      </c>
      <c r="S19" s="102">
        <f>SUM(S9:S18)</f>
        <v>1</v>
      </c>
    </row>
    <row r="23" spans="1:19" ht="28.8" x14ac:dyDescent="0.3">
      <c r="A23" s="143" t="s">
        <v>102</v>
      </c>
    </row>
    <row r="24" spans="1:19" ht="28.8" x14ac:dyDescent="0.3">
      <c r="B24" s="47"/>
      <c r="C24" s="47"/>
      <c r="D24" s="48" t="s">
        <v>15</v>
      </c>
      <c r="E24" s="47"/>
      <c r="F24" s="47"/>
      <c r="G24" s="48" t="s">
        <v>23</v>
      </c>
      <c r="H24" s="82"/>
      <c r="I24" s="82"/>
      <c r="J24" s="82"/>
      <c r="K24" s="83" t="s">
        <v>18</v>
      </c>
      <c r="L24" s="64"/>
      <c r="M24" s="64"/>
      <c r="N24" s="65" t="s">
        <v>19</v>
      </c>
      <c r="Q24" s="16" t="s">
        <v>22</v>
      </c>
      <c r="R24" s="77"/>
    </row>
    <row r="25" spans="1:19" ht="15" thickBot="1" x14ac:dyDescent="0.35">
      <c r="A25" s="2" t="s">
        <v>83</v>
      </c>
      <c r="B25" s="47"/>
      <c r="C25" s="47"/>
      <c r="D25" s="49">
        <v>0.7</v>
      </c>
      <c r="E25" s="47"/>
      <c r="F25" s="47"/>
      <c r="G25" s="49">
        <v>0.7</v>
      </c>
      <c r="H25" s="82"/>
      <c r="I25" s="82"/>
      <c r="J25" s="82"/>
      <c r="K25" s="84">
        <v>0.18</v>
      </c>
      <c r="L25" s="64"/>
      <c r="M25" s="64"/>
      <c r="N25" s="66">
        <v>0.12</v>
      </c>
      <c r="Q25" s="17">
        <v>0</v>
      </c>
      <c r="R25" s="77"/>
    </row>
    <row r="26" spans="1:19" x14ac:dyDescent="0.3">
      <c r="A26" s="38">
        <v>16601541</v>
      </c>
      <c r="B26" s="50"/>
      <c r="C26" s="50"/>
      <c r="D26" s="51">
        <f>A26*D25</f>
        <v>11621078.699999999</v>
      </c>
      <c r="E26" s="50"/>
      <c r="F26" s="50"/>
      <c r="G26" s="51"/>
      <c r="H26" s="85"/>
      <c r="I26" s="85"/>
      <c r="J26" s="85"/>
      <c r="K26" s="86">
        <f>A26*K25</f>
        <v>2988277.38</v>
      </c>
      <c r="L26" s="67"/>
      <c r="M26" s="67"/>
      <c r="N26" s="67">
        <f>A26*N25</f>
        <v>1992184.92</v>
      </c>
      <c r="O26" s="40"/>
      <c r="P26" s="40"/>
      <c r="Q26" s="39">
        <f>A26*Q25</f>
        <v>0</v>
      </c>
      <c r="R26" s="78"/>
      <c r="S26" s="40"/>
    </row>
    <row r="27" spans="1:19" x14ac:dyDescent="0.3">
      <c r="A27" s="7"/>
      <c r="B27" s="52"/>
      <c r="C27" s="52"/>
      <c r="D27" s="52"/>
      <c r="E27" s="52"/>
      <c r="F27" s="52"/>
      <c r="G27" s="52"/>
      <c r="H27" s="87"/>
      <c r="I27" s="87"/>
      <c r="J27" s="87"/>
      <c r="K27" s="87"/>
      <c r="L27" s="68"/>
      <c r="M27" s="68"/>
      <c r="N27" s="68"/>
      <c r="O27" s="7"/>
      <c r="P27" s="7"/>
      <c r="Q27" s="7"/>
      <c r="R27" s="79"/>
      <c r="S27" s="7"/>
    </row>
    <row r="28" spans="1:19" ht="57.6" x14ac:dyDescent="0.3">
      <c r="A28" s="13" t="s">
        <v>0</v>
      </c>
      <c r="B28" s="48" t="s">
        <v>13</v>
      </c>
      <c r="C28" s="48" t="s">
        <v>66</v>
      </c>
      <c r="D28" s="48" t="s">
        <v>67</v>
      </c>
      <c r="E28" s="48" t="s">
        <v>86</v>
      </c>
      <c r="F28" s="48" t="s">
        <v>73</v>
      </c>
      <c r="G28" s="48" t="s">
        <v>70</v>
      </c>
      <c r="H28" s="83" t="s">
        <v>20</v>
      </c>
      <c r="I28" s="83" t="s">
        <v>17</v>
      </c>
      <c r="J28" s="83" t="s">
        <v>74</v>
      </c>
      <c r="K28" s="83" t="s">
        <v>71</v>
      </c>
      <c r="L28" s="65" t="s">
        <v>84</v>
      </c>
      <c r="M28" s="65" t="s">
        <v>85</v>
      </c>
      <c r="N28" s="65" t="s">
        <v>72</v>
      </c>
      <c r="O28" s="16" t="s">
        <v>16</v>
      </c>
      <c r="P28" s="16" t="s">
        <v>65</v>
      </c>
      <c r="Q28" s="16" t="s">
        <v>69</v>
      </c>
      <c r="R28" s="80" t="s">
        <v>75</v>
      </c>
      <c r="S28" s="46" t="s">
        <v>76</v>
      </c>
    </row>
    <row r="29" spans="1:19" ht="15" thickBot="1" x14ac:dyDescent="0.35">
      <c r="A29" s="5"/>
      <c r="B29" s="53" t="s">
        <v>14</v>
      </c>
      <c r="C29" s="53" t="s">
        <v>52</v>
      </c>
      <c r="D29" s="49" t="s">
        <v>68</v>
      </c>
      <c r="E29" s="53" t="s">
        <v>14</v>
      </c>
      <c r="F29" s="53" t="s">
        <v>52</v>
      </c>
      <c r="G29" s="49" t="s">
        <v>68</v>
      </c>
      <c r="H29" s="88" t="s">
        <v>21</v>
      </c>
      <c r="I29" s="88" t="s">
        <v>14</v>
      </c>
      <c r="J29" s="88" t="s">
        <v>52</v>
      </c>
      <c r="K29" s="84" t="s">
        <v>68</v>
      </c>
      <c r="L29" s="69" t="s">
        <v>14</v>
      </c>
      <c r="M29" s="69" t="s">
        <v>52</v>
      </c>
      <c r="N29" s="69" t="s">
        <v>68</v>
      </c>
      <c r="O29" s="6" t="s">
        <v>14</v>
      </c>
      <c r="P29" s="6" t="s">
        <v>52</v>
      </c>
      <c r="Q29" s="17" t="s">
        <v>68</v>
      </c>
      <c r="R29" s="81"/>
      <c r="S29" s="15"/>
    </row>
    <row r="30" spans="1:19" x14ac:dyDescent="0.3">
      <c r="A30" s="4" t="s">
        <v>1</v>
      </c>
      <c r="B30" s="60">
        <f>1848-277</f>
        <v>1571</v>
      </c>
      <c r="C30" s="54">
        <f>B30/(B$38+E$38)</f>
        <v>0.54247237569060769</v>
      </c>
      <c r="D30" s="55">
        <f>C30*D$5</f>
        <v>6304114.1704765186</v>
      </c>
      <c r="E30" s="47">
        <v>277</v>
      </c>
      <c r="F30" s="54">
        <f>E30/(B$38+E$38)</f>
        <v>9.5649171270718231E-2</v>
      </c>
      <c r="G30" s="55">
        <f>F30*D$5</f>
        <v>1111546.5469267955</v>
      </c>
      <c r="H30" s="89">
        <f>39000+4500</f>
        <v>43500</v>
      </c>
      <c r="I30" s="90">
        <f>(H30*100)/43560</f>
        <v>99.862258953168038</v>
      </c>
      <c r="J30" s="91">
        <f>I30/I$38</f>
        <v>0.49297370806890295</v>
      </c>
      <c r="K30" s="85">
        <f t="shared" ref="K30:K37" si="23">J30*K$5</f>
        <v>1473142.1807570262</v>
      </c>
      <c r="L30" s="70">
        <f>793-I30</f>
        <v>693.13774104683193</v>
      </c>
      <c r="M30" s="71">
        <f>L30/L$38</f>
        <v>0.33680162344355291</v>
      </c>
      <c r="N30" s="72">
        <f>M30*N$5</f>
        <v>670971.11525576457</v>
      </c>
      <c r="O30" s="62">
        <v>793</v>
      </c>
      <c r="P30" s="18">
        <f>'Dev Parcel Habitat Cover'!D30</f>
        <v>0</v>
      </c>
      <c r="Q30" s="41">
        <f>P30*Q$5</f>
        <v>0</v>
      </c>
      <c r="R30" s="96">
        <f t="shared" ref="R30:R37" si="24">D30+Q30+G30+K30+N30</f>
        <v>9559774.013416104</v>
      </c>
      <c r="S30" s="98">
        <f>(R30/$A$5)</f>
        <v>0.57583654513855698</v>
      </c>
    </row>
    <row r="31" spans="1:19" x14ac:dyDescent="0.3">
      <c r="A31" s="4" t="s">
        <v>2</v>
      </c>
      <c r="B31" s="60">
        <v>0</v>
      </c>
      <c r="C31" s="54">
        <f t="shared" ref="C31:C37" si="25">B31/(B$38+E$38)</f>
        <v>0</v>
      </c>
      <c r="D31" s="55">
        <f t="shared" ref="D31:D37" si="26">C31*D$5</f>
        <v>0</v>
      </c>
      <c r="E31" s="47">
        <v>0</v>
      </c>
      <c r="F31" s="54">
        <f t="shared" ref="F31:F37" si="27">E31/(B$38+E$38)</f>
        <v>0</v>
      </c>
      <c r="G31" s="55">
        <f t="shared" ref="G31:G37" si="28">F31*D$5</f>
        <v>0</v>
      </c>
      <c r="H31" s="89">
        <v>14740</v>
      </c>
      <c r="I31" s="90">
        <f>(H31*100)/43560</f>
        <v>33.838383838383841</v>
      </c>
      <c r="J31" s="91">
        <f t="shared" ref="J31:J37" si="29">I31/I$38</f>
        <v>0.16704442429737082</v>
      </c>
      <c r="K31" s="85">
        <f t="shared" si="23"/>
        <v>499175.07458295557</v>
      </c>
      <c r="L31" s="70">
        <f>423-I31</f>
        <v>389.16161616161617</v>
      </c>
      <c r="M31" s="71">
        <f t="shared" ref="M31:M37" si="30">L31/L$38</f>
        <v>0.1890969952194442</v>
      </c>
      <c r="N31" s="72">
        <f t="shared" ref="N31:N37" si="31">M31*N$5</f>
        <v>376716.18229348882</v>
      </c>
      <c r="O31" s="62">
        <v>423</v>
      </c>
      <c r="P31" s="18">
        <f>'Dev Parcel Habitat Cover'!F30</f>
        <v>0</v>
      </c>
      <c r="Q31" s="41">
        <f>P31*Q$5</f>
        <v>0</v>
      </c>
      <c r="R31" s="96">
        <f t="shared" si="24"/>
        <v>875891.25687644444</v>
      </c>
      <c r="S31" s="99">
        <f t="shared" ref="S31:S37" si="32">(R31/$A$5)</f>
        <v>5.2759635799860052E-2</v>
      </c>
    </row>
    <row r="32" spans="1:19" x14ac:dyDescent="0.3">
      <c r="A32" s="4" t="s">
        <v>3</v>
      </c>
      <c r="B32" s="60">
        <v>236</v>
      </c>
      <c r="C32" s="54">
        <f t="shared" si="25"/>
        <v>8.1491712707182321E-2</v>
      </c>
      <c r="D32" s="55">
        <f t="shared" si="26"/>
        <v>947021.6067679557</v>
      </c>
      <c r="E32" s="47">
        <v>0</v>
      </c>
      <c r="F32" s="54">
        <f t="shared" si="27"/>
        <v>0</v>
      </c>
      <c r="G32" s="55">
        <f t="shared" si="28"/>
        <v>0</v>
      </c>
      <c r="H32" s="89">
        <v>0</v>
      </c>
      <c r="I32" s="90">
        <f t="shared" ref="I32:I37" si="33">(H32*100)/43560</f>
        <v>0</v>
      </c>
      <c r="J32" s="91">
        <f t="shared" si="29"/>
        <v>0</v>
      </c>
      <c r="K32" s="85">
        <f t="shared" si="23"/>
        <v>0</v>
      </c>
      <c r="L32" s="70">
        <f>0-I32</f>
        <v>0</v>
      </c>
      <c r="M32" s="71">
        <f t="shared" si="30"/>
        <v>0</v>
      </c>
      <c r="N32" s="72">
        <f t="shared" si="31"/>
        <v>0</v>
      </c>
      <c r="O32" s="62">
        <v>0</v>
      </c>
      <c r="P32" s="18">
        <f>O32/O$19</f>
        <v>0</v>
      </c>
      <c r="Q32" s="41">
        <f>P32*Q$5</f>
        <v>0</v>
      </c>
      <c r="R32" s="96">
        <f t="shared" si="24"/>
        <v>947021.6067679557</v>
      </c>
      <c r="S32" s="99">
        <f t="shared" si="32"/>
        <v>5.7044198895027619E-2</v>
      </c>
    </row>
    <row r="33" spans="1:19" x14ac:dyDescent="0.3">
      <c r="A33" s="4" t="s">
        <v>4</v>
      </c>
      <c r="B33" s="60">
        <v>0</v>
      </c>
      <c r="C33" s="54">
        <f t="shared" si="25"/>
        <v>0</v>
      </c>
      <c r="D33" s="55">
        <f t="shared" si="26"/>
        <v>0</v>
      </c>
      <c r="E33" s="47">
        <v>0</v>
      </c>
      <c r="F33" s="54">
        <f t="shared" si="27"/>
        <v>0</v>
      </c>
      <c r="G33" s="55">
        <f t="shared" si="28"/>
        <v>0</v>
      </c>
      <c r="H33" s="89">
        <v>0</v>
      </c>
      <c r="I33" s="90">
        <f t="shared" si="33"/>
        <v>0</v>
      </c>
      <c r="J33" s="91">
        <f t="shared" si="29"/>
        <v>0</v>
      </c>
      <c r="K33" s="85">
        <f t="shared" si="23"/>
        <v>0</v>
      </c>
      <c r="L33" s="70">
        <f>32-I33</f>
        <v>32</v>
      </c>
      <c r="M33" s="71">
        <f t="shared" si="30"/>
        <v>1.5549076773566569E-2</v>
      </c>
      <c r="N33" s="72">
        <f t="shared" si="31"/>
        <v>30976.636268221573</v>
      </c>
      <c r="O33" s="62">
        <v>32</v>
      </c>
      <c r="P33" s="18">
        <f>'Dev Parcel Habitat Cover'!H30</f>
        <v>0</v>
      </c>
      <c r="Q33" s="41">
        <f>P33*Q$5</f>
        <v>0</v>
      </c>
      <c r="R33" s="96">
        <f t="shared" si="24"/>
        <v>30976.636268221573</v>
      </c>
      <c r="S33" s="100">
        <f t="shared" si="32"/>
        <v>1.8658892128279882E-3</v>
      </c>
    </row>
    <row r="34" spans="1:19" ht="15" thickBot="1" x14ac:dyDescent="0.35">
      <c r="A34" s="116" t="s">
        <v>5</v>
      </c>
      <c r="B34" s="117">
        <v>0</v>
      </c>
      <c r="C34" s="118">
        <f t="shared" si="25"/>
        <v>0</v>
      </c>
      <c r="D34" s="119">
        <f t="shared" si="26"/>
        <v>0</v>
      </c>
      <c r="E34" s="120">
        <v>0</v>
      </c>
      <c r="F34" s="118">
        <f t="shared" si="27"/>
        <v>0</v>
      </c>
      <c r="G34" s="119">
        <f t="shared" si="28"/>
        <v>0</v>
      </c>
      <c r="H34" s="121">
        <f>6260+840</f>
        <v>7100</v>
      </c>
      <c r="I34" s="122">
        <f t="shared" si="33"/>
        <v>16.299357208448118</v>
      </c>
      <c r="J34" s="123">
        <f t="shared" si="29"/>
        <v>8.0462375339981865E-2</v>
      </c>
      <c r="K34" s="124">
        <f t="shared" si="23"/>
        <v>240443.89616953762</v>
      </c>
      <c r="L34" s="125">
        <f>(305+12)-I34</f>
        <v>300.7006427915519</v>
      </c>
      <c r="M34" s="126">
        <f t="shared" si="30"/>
        <v>0.14611304314458304</v>
      </c>
      <c r="N34" s="127">
        <f t="shared" si="31"/>
        <v>291084.20116794767</v>
      </c>
      <c r="O34" s="128">
        <v>305</v>
      </c>
      <c r="P34" s="129">
        <f>'Dev Parcel Habitat Cover'!J30</f>
        <v>0</v>
      </c>
      <c r="Q34" s="130">
        <f>P34*Q$5</f>
        <v>0</v>
      </c>
      <c r="R34" s="131">
        <f t="shared" si="24"/>
        <v>531528.09733748529</v>
      </c>
      <c r="S34" s="132">
        <f t="shared" si="32"/>
        <v>3.2016792738546698E-2</v>
      </c>
    </row>
    <row r="35" spans="1:19" ht="15" thickTop="1" x14ac:dyDescent="0.3">
      <c r="A35" s="103" t="s">
        <v>93</v>
      </c>
      <c r="B35" s="104">
        <v>0</v>
      </c>
      <c r="C35" s="54">
        <f t="shared" si="25"/>
        <v>0</v>
      </c>
      <c r="D35" s="106">
        <f t="shared" si="26"/>
        <v>0</v>
      </c>
      <c r="E35" s="107">
        <v>0</v>
      </c>
      <c r="F35" s="54">
        <f t="shared" si="27"/>
        <v>0</v>
      </c>
      <c r="G35" s="106">
        <f t="shared" si="28"/>
        <v>0</v>
      </c>
      <c r="H35" s="108">
        <v>2600</v>
      </c>
      <c r="I35" s="109">
        <f t="shared" si="33"/>
        <v>5.9687786960514231</v>
      </c>
      <c r="J35" s="91">
        <f t="shared" si="29"/>
        <v>2.9465095194922936E-2</v>
      </c>
      <c r="K35" s="111">
        <f t="shared" si="23"/>
        <v>88049.877470534891</v>
      </c>
      <c r="L35" s="112">
        <v>333</v>
      </c>
      <c r="M35" s="71">
        <f t="shared" si="30"/>
        <v>0.16180758017492711</v>
      </c>
      <c r="N35" s="142">
        <f t="shared" si="31"/>
        <v>322350.62116618076</v>
      </c>
      <c r="O35" s="113"/>
      <c r="P35" s="114"/>
      <c r="Q35" s="115"/>
      <c r="R35" s="134">
        <f t="shared" si="24"/>
        <v>410400.49863671564</v>
      </c>
      <c r="S35" s="135">
        <f t="shared" si="32"/>
        <v>2.472062675607738E-2</v>
      </c>
    </row>
    <row r="36" spans="1:19" x14ac:dyDescent="0.3">
      <c r="A36" s="103" t="s">
        <v>90</v>
      </c>
      <c r="B36" s="104">
        <f>606-E36</f>
        <v>598</v>
      </c>
      <c r="C36" s="54">
        <f t="shared" si="25"/>
        <v>0.20649171270718231</v>
      </c>
      <c r="D36" s="106">
        <f t="shared" si="26"/>
        <v>2399656.4442679556</v>
      </c>
      <c r="E36" s="107">
        <v>8</v>
      </c>
      <c r="F36" s="54">
        <f t="shared" si="27"/>
        <v>2.7624309392265192E-3</v>
      </c>
      <c r="G36" s="106">
        <f t="shared" si="28"/>
        <v>32102.427348066296</v>
      </c>
      <c r="H36" s="108">
        <v>0</v>
      </c>
      <c r="I36" s="109">
        <f t="shared" si="33"/>
        <v>0</v>
      </c>
      <c r="J36" s="91">
        <f t="shared" si="29"/>
        <v>0</v>
      </c>
      <c r="K36" s="111">
        <f t="shared" si="23"/>
        <v>0</v>
      </c>
      <c r="L36" s="112">
        <v>0</v>
      </c>
      <c r="M36" s="71">
        <f t="shared" si="30"/>
        <v>0</v>
      </c>
      <c r="N36" s="72">
        <f t="shared" si="31"/>
        <v>0</v>
      </c>
      <c r="O36" s="113"/>
      <c r="P36" s="114"/>
      <c r="Q36" s="115"/>
      <c r="R36" s="96">
        <f t="shared" si="24"/>
        <v>2431758.8716160217</v>
      </c>
      <c r="S36" s="99">
        <f t="shared" si="32"/>
        <v>0.14647790055248616</v>
      </c>
    </row>
    <row r="37" spans="1:19" ht="15" thickBot="1" x14ac:dyDescent="0.35">
      <c r="A37" s="10" t="s">
        <v>89</v>
      </c>
      <c r="B37" s="61">
        <v>206</v>
      </c>
      <c r="C37" s="57">
        <f t="shared" si="25"/>
        <v>7.1132596685082872E-2</v>
      </c>
      <c r="D37" s="58">
        <f t="shared" si="26"/>
        <v>826637.50421270716</v>
      </c>
      <c r="E37" s="56">
        <v>0</v>
      </c>
      <c r="F37" s="57">
        <f t="shared" si="27"/>
        <v>0</v>
      </c>
      <c r="G37" s="58">
        <f t="shared" si="28"/>
        <v>0</v>
      </c>
      <c r="H37" s="92">
        <v>20300</v>
      </c>
      <c r="I37" s="93">
        <f t="shared" si="33"/>
        <v>46.602387511478419</v>
      </c>
      <c r="J37" s="94">
        <f t="shared" si="29"/>
        <v>0.23005439709882139</v>
      </c>
      <c r="K37" s="95">
        <f t="shared" si="23"/>
        <v>687466.35101994558</v>
      </c>
      <c r="L37" s="73">
        <v>310</v>
      </c>
      <c r="M37" s="74">
        <f t="shared" si="30"/>
        <v>0.15063168124392615</v>
      </c>
      <c r="N37" s="75">
        <f t="shared" si="31"/>
        <v>300086.16384839651</v>
      </c>
      <c r="O37" s="63"/>
      <c r="P37" s="42"/>
      <c r="Q37" s="45"/>
      <c r="R37" s="97">
        <f t="shared" si="24"/>
        <v>1814190.0190810491</v>
      </c>
      <c r="S37" s="101">
        <f t="shared" si="32"/>
        <v>0.109278410906617</v>
      </c>
    </row>
    <row r="38" spans="1:19" x14ac:dyDescent="0.3">
      <c r="A38" s="12" t="s">
        <v>12</v>
      </c>
      <c r="B38" s="60">
        <f t="shared" ref="B38:N38" si="34">SUM(B30:B37)</f>
        <v>2611</v>
      </c>
      <c r="C38" s="105">
        <f t="shared" si="34"/>
        <v>0.90158839779005517</v>
      </c>
      <c r="D38" s="55">
        <f t="shared" si="34"/>
        <v>10477429.725725137</v>
      </c>
      <c r="E38" s="47">
        <f t="shared" si="34"/>
        <v>285</v>
      </c>
      <c r="F38" s="54">
        <f t="shared" si="34"/>
        <v>9.8411602209944743E-2</v>
      </c>
      <c r="G38" s="55">
        <f t="shared" si="34"/>
        <v>1143648.9742748619</v>
      </c>
      <c r="H38" s="89">
        <f t="shared" si="34"/>
        <v>88240</v>
      </c>
      <c r="I38" s="90">
        <f t="shared" si="34"/>
        <v>202.57116620752984</v>
      </c>
      <c r="J38" s="91">
        <f t="shared" si="34"/>
        <v>0.99999999999999989</v>
      </c>
      <c r="K38" s="85">
        <f t="shared" si="34"/>
        <v>2988277.3799999994</v>
      </c>
      <c r="L38" s="76">
        <f t="shared" si="34"/>
        <v>2058</v>
      </c>
      <c r="M38" s="71">
        <f t="shared" si="34"/>
        <v>1</v>
      </c>
      <c r="N38" s="72">
        <f t="shared" si="34"/>
        <v>1992184.92</v>
      </c>
      <c r="O38" s="62">
        <f>SUM(O30:O34)</f>
        <v>1553</v>
      </c>
      <c r="Q38" s="41">
        <f>SUM(Q30:Q34)</f>
        <v>0</v>
      </c>
      <c r="R38" s="96">
        <f>SUM(R30:R37)</f>
        <v>16601540.999999996</v>
      </c>
      <c r="S38" s="102">
        <f>SUM(S30:S37)</f>
        <v>1</v>
      </c>
    </row>
    <row r="44" spans="1:19" x14ac:dyDescent="0.3">
      <c r="A44" s="1" t="s">
        <v>9</v>
      </c>
    </row>
    <row r="45" spans="1:19" x14ac:dyDescent="0.3">
      <c r="A45" s="59" t="s">
        <v>77</v>
      </c>
    </row>
    <row r="46" spans="1:19" x14ac:dyDescent="0.3">
      <c r="A46" s="59" t="s">
        <v>88</v>
      </c>
    </row>
    <row r="47" spans="1:19" x14ac:dyDescent="0.3">
      <c r="A47" s="59" t="s">
        <v>78</v>
      </c>
    </row>
    <row r="48" spans="1:19" x14ac:dyDescent="0.3">
      <c r="A48" s="59" t="s">
        <v>79</v>
      </c>
    </row>
    <row r="49" spans="1:1" x14ac:dyDescent="0.3">
      <c r="A49" s="59" t="s">
        <v>80</v>
      </c>
    </row>
    <row r="50" spans="1:1" x14ac:dyDescent="0.3">
      <c r="A50" s="59" t="s">
        <v>81</v>
      </c>
    </row>
    <row r="51" spans="1:1" x14ac:dyDescent="0.3">
      <c r="A51" s="59" t="s">
        <v>87</v>
      </c>
    </row>
    <row r="52" spans="1:1" x14ac:dyDescent="0.3">
      <c r="A52" s="59" t="s">
        <v>82</v>
      </c>
    </row>
    <row r="53" spans="1:1" x14ac:dyDescent="0.3">
      <c r="A53" s="3"/>
    </row>
    <row r="54" spans="1:1" x14ac:dyDescent="0.3">
      <c r="A54" s="3"/>
    </row>
    <row r="55" spans="1:1" x14ac:dyDescent="0.3">
      <c r="A55" s="3"/>
    </row>
    <row r="56" spans="1:1" x14ac:dyDescent="0.3">
      <c r="A56" s="3"/>
    </row>
    <row r="57" spans="1:1" x14ac:dyDescent="0.3">
      <c r="A57" s="3"/>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BD81C-5CBB-4648-9F1F-461776946C1D}">
  <dimension ref="A3:N38"/>
  <sheetViews>
    <sheetView workbookViewId="0">
      <pane xSplit="1" ySplit="8" topLeftCell="B9" activePane="bottomRight" state="frozen"/>
      <selection pane="topRight" activeCell="B1" sqref="B1"/>
      <selection pane="bottomLeft" activeCell="A9" sqref="A9"/>
      <selection pane="bottomRight" activeCell="B9" sqref="B9"/>
    </sheetView>
  </sheetViews>
  <sheetFormatPr defaultRowHeight="14.4" x14ac:dyDescent="0.3"/>
  <cols>
    <col min="1" max="1" width="37.88671875" style="2" customWidth="1"/>
    <col min="2" max="4" width="13.33203125" customWidth="1"/>
    <col min="5" max="5" width="10.88671875" customWidth="1"/>
    <col min="6" max="6" width="16.44140625" customWidth="1"/>
    <col min="7" max="7" width="17.44140625" customWidth="1"/>
  </cols>
  <sheetData>
    <row r="3" spans="1:14" ht="28.8" x14ac:dyDescent="0.3">
      <c r="B3" s="47"/>
      <c r="C3" s="47"/>
      <c r="D3" s="47"/>
      <c r="E3" s="47"/>
      <c r="F3" s="48" t="s">
        <v>96</v>
      </c>
      <c r="G3" s="77"/>
    </row>
    <row r="4" spans="1:14" ht="15" thickBot="1" x14ac:dyDescent="0.35">
      <c r="A4" s="2" t="s">
        <v>83</v>
      </c>
      <c r="B4" s="47"/>
      <c r="C4" s="47"/>
      <c r="D4" s="47"/>
      <c r="E4" s="47"/>
      <c r="F4" s="136">
        <v>0.30199999999999999</v>
      </c>
      <c r="G4" s="77"/>
    </row>
    <row r="5" spans="1:14" s="40" customFormat="1" ht="37.5" customHeight="1" x14ac:dyDescent="0.3">
      <c r="A5" s="38">
        <f>(C22*E22)+(C23*F4)</f>
        <v>16601540.998879999</v>
      </c>
      <c r="B5" s="50"/>
      <c r="C5" s="50"/>
      <c r="D5" s="50"/>
      <c r="E5" s="50"/>
      <c r="F5" s="51">
        <f>A5</f>
        <v>16601540.998879999</v>
      </c>
      <c r="G5" s="78"/>
    </row>
    <row r="6" spans="1:14" s="7" customFormat="1" ht="12" x14ac:dyDescent="0.25">
      <c r="B6" s="52"/>
      <c r="C6" s="52"/>
      <c r="D6" s="52"/>
      <c r="E6" s="52"/>
      <c r="F6" s="52"/>
      <c r="G6" s="79"/>
    </row>
    <row r="7" spans="1:14" s="1" customFormat="1" ht="43.2" x14ac:dyDescent="0.3">
      <c r="A7" s="13" t="s">
        <v>0</v>
      </c>
      <c r="B7" s="48" t="s">
        <v>94</v>
      </c>
      <c r="C7" s="48" t="s">
        <v>95</v>
      </c>
      <c r="D7" s="48" t="s">
        <v>100</v>
      </c>
      <c r="E7" s="48"/>
      <c r="F7" s="48"/>
      <c r="G7" s="80" t="s">
        <v>75</v>
      </c>
      <c r="H7" s="46" t="s">
        <v>76</v>
      </c>
    </row>
    <row r="8" spans="1:14" s="15" customFormat="1" ht="15" thickBot="1" x14ac:dyDescent="0.35">
      <c r="A8" s="5"/>
      <c r="B8" s="53" t="s">
        <v>68</v>
      </c>
      <c r="C8" s="53" t="s">
        <v>68</v>
      </c>
      <c r="D8" s="53" t="s">
        <v>68</v>
      </c>
      <c r="E8" s="53" t="s">
        <v>52</v>
      </c>
      <c r="F8" s="49" t="s">
        <v>68</v>
      </c>
      <c r="G8" s="81"/>
    </row>
    <row r="9" spans="1:14" x14ac:dyDescent="0.3">
      <c r="A9" s="4" t="s">
        <v>1</v>
      </c>
      <c r="B9" s="50">
        <f>22797214.52-C9+C24</f>
        <v>22278698.559999999</v>
      </c>
      <c r="C9" s="50">
        <v>2539568.96</v>
      </c>
      <c r="D9" s="50">
        <f>B9+C9</f>
        <v>24818267.52</v>
      </c>
      <c r="E9" s="54">
        <f t="shared" ref="E9:E18" si="0">D9/D$19</f>
        <v>0.41961335642651509</v>
      </c>
      <c r="F9" s="55">
        <f>(E9*F$5)+89</f>
        <v>6966317.3403924368</v>
      </c>
      <c r="G9" s="96">
        <f t="shared" ref="G9:G18" si="1">F9</f>
        <v>6966317.3403924368</v>
      </c>
      <c r="H9" s="98">
        <f>(G9/$A$5)</f>
        <v>0.41961871737463469</v>
      </c>
      <c r="J9" s="19">
        <f>755*0.281</f>
        <v>212.15500000000003</v>
      </c>
      <c r="K9" s="19">
        <f>J9*H9</f>
        <v>89.02420898461564</v>
      </c>
      <c r="N9" s="19"/>
    </row>
    <row r="10" spans="1:14" x14ac:dyDescent="0.3">
      <c r="A10" s="4" t="s">
        <v>2</v>
      </c>
      <c r="B10" s="50">
        <v>10084194.789999999</v>
      </c>
      <c r="C10" s="50">
        <v>0</v>
      </c>
      <c r="D10" s="50">
        <f t="shared" ref="D10:D18" si="2">B10+C10</f>
        <v>10084194.789999999</v>
      </c>
      <c r="E10" s="54">
        <f t="shared" si="0"/>
        <v>0.17049791325203173</v>
      </c>
      <c r="F10" s="55">
        <f>(E10*F$5)+36</f>
        <v>2830564.0970770903</v>
      </c>
      <c r="G10" s="96">
        <f t="shared" si="1"/>
        <v>2830564.0970770903</v>
      </c>
      <c r="H10" s="99">
        <f t="shared" ref="H10:H18" si="3">(G10/$A$5)</f>
        <v>0.17050008172542841</v>
      </c>
      <c r="J10" s="19">
        <f>755*0.281</f>
        <v>212.15500000000003</v>
      </c>
      <c r="K10" s="19">
        <f>J10*H10</f>
        <v>36.172444838458269</v>
      </c>
      <c r="N10" s="19"/>
    </row>
    <row r="11" spans="1:14" x14ac:dyDescent="0.3">
      <c r="A11" s="4" t="s">
        <v>3</v>
      </c>
      <c r="B11" s="50">
        <f>23223454.05-C11+C25</f>
        <v>23836552.050000001</v>
      </c>
      <c r="C11" s="50">
        <v>405792</v>
      </c>
      <c r="D11" s="50">
        <f t="shared" si="2"/>
        <v>24242344.050000001</v>
      </c>
      <c r="E11" s="54">
        <f t="shared" si="0"/>
        <v>0.4098759652046356</v>
      </c>
      <c r="F11" s="55">
        <f>(E11*F$5)+87</f>
        <v>6804659.6408002693</v>
      </c>
      <c r="G11" s="96">
        <f t="shared" si="1"/>
        <v>6804659.6408002693</v>
      </c>
      <c r="H11" s="99">
        <f t="shared" si="3"/>
        <v>0.40988120568201086</v>
      </c>
      <c r="J11" s="19">
        <f>755*0.281</f>
        <v>212.15500000000003</v>
      </c>
      <c r="K11" s="19">
        <f>H11*J11</f>
        <v>86.958347191467027</v>
      </c>
      <c r="N11" s="19"/>
    </row>
    <row r="12" spans="1:14" x14ac:dyDescent="0.3">
      <c r="A12" s="4" t="s">
        <v>4</v>
      </c>
      <c r="B12" s="50">
        <v>0</v>
      </c>
      <c r="C12" s="50">
        <v>0</v>
      </c>
      <c r="D12" s="50">
        <f t="shared" si="2"/>
        <v>0</v>
      </c>
      <c r="E12" s="54">
        <f t="shared" si="0"/>
        <v>0</v>
      </c>
      <c r="F12" s="55">
        <f t="shared" ref="F12:F18" si="4">E12*F$5</f>
        <v>0</v>
      </c>
      <c r="G12" s="96">
        <f t="shared" si="1"/>
        <v>0</v>
      </c>
      <c r="H12" s="99">
        <f t="shared" si="3"/>
        <v>0</v>
      </c>
      <c r="K12" s="19">
        <f>SUM(K9:K11)</f>
        <v>212.15500101454094</v>
      </c>
      <c r="N12" s="19"/>
    </row>
    <row r="13" spans="1:14" x14ac:dyDescent="0.3">
      <c r="A13" s="103" t="s">
        <v>5</v>
      </c>
      <c r="B13" s="133">
        <v>0</v>
      </c>
      <c r="C13" s="133">
        <v>0</v>
      </c>
      <c r="D13" s="50">
        <f t="shared" si="2"/>
        <v>0</v>
      </c>
      <c r="E13" s="54">
        <f t="shared" si="0"/>
        <v>0</v>
      </c>
      <c r="F13" s="106">
        <f t="shared" si="4"/>
        <v>0</v>
      </c>
      <c r="G13" s="134">
        <f t="shared" si="1"/>
        <v>0</v>
      </c>
      <c r="H13" s="135">
        <f t="shared" si="3"/>
        <v>0</v>
      </c>
    </row>
    <row r="14" spans="1:14" x14ac:dyDescent="0.3">
      <c r="A14" s="103" t="s">
        <v>92</v>
      </c>
      <c r="B14" s="133">
        <v>0</v>
      </c>
      <c r="C14" s="133">
        <v>0</v>
      </c>
      <c r="D14" s="50">
        <f t="shared" si="2"/>
        <v>0</v>
      </c>
      <c r="E14" s="54">
        <f t="shared" si="0"/>
        <v>0</v>
      </c>
      <c r="F14" s="106">
        <f t="shared" si="4"/>
        <v>0</v>
      </c>
      <c r="G14" s="96">
        <f t="shared" si="1"/>
        <v>0</v>
      </c>
      <c r="H14" s="99">
        <f t="shared" si="3"/>
        <v>0</v>
      </c>
    </row>
    <row r="15" spans="1:14" x14ac:dyDescent="0.3">
      <c r="A15" s="103" t="s">
        <v>90</v>
      </c>
      <c r="B15" s="133">
        <v>0</v>
      </c>
      <c r="C15" s="133">
        <v>0</v>
      </c>
      <c r="D15" s="50">
        <f t="shared" si="2"/>
        <v>0</v>
      </c>
      <c r="E15" s="54">
        <f t="shared" si="0"/>
        <v>0</v>
      </c>
      <c r="F15" s="106">
        <f t="shared" si="4"/>
        <v>0</v>
      </c>
      <c r="G15" s="96">
        <f t="shared" si="1"/>
        <v>0</v>
      </c>
      <c r="H15" s="99">
        <f t="shared" si="3"/>
        <v>0</v>
      </c>
    </row>
    <row r="16" spans="1:14" x14ac:dyDescent="0.3">
      <c r="A16" s="103" t="s">
        <v>89</v>
      </c>
      <c r="B16" s="133">
        <v>0</v>
      </c>
      <c r="C16" s="133">
        <v>0</v>
      </c>
      <c r="D16" s="50">
        <f t="shared" si="2"/>
        <v>0</v>
      </c>
      <c r="E16" s="54">
        <f t="shared" si="0"/>
        <v>0</v>
      </c>
      <c r="F16" s="106">
        <f t="shared" si="4"/>
        <v>0</v>
      </c>
      <c r="G16" s="96">
        <f t="shared" si="1"/>
        <v>0</v>
      </c>
      <c r="H16" s="99">
        <f t="shared" si="3"/>
        <v>0</v>
      </c>
    </row>
    <row r="17" spans="1:12" x14ac:dyDescent="0.3">
      <c r="A17" s="103" t="s">
        <v>91</v>
      </c>
      <c r="B17" s="133">
        <v>0</v>
      </c>
      <c r="C17" s="133">
        <v>0</v>
      </c>
      <c r="D17" s="50">
        <f t="shared" si="2"/>
        <v>0</v>
      </c>
      <c r="E17" s="54">
        <f t="shared" si="0"/>
        <v>0</v>
      </c>
      <c r="F17" s="106">
        <f t="shared" si="4"/>
        <v>0</v>
      </c>
      <c r="G17" s="96">
        <f t="shared" si="1"/>
        <v>0</v>
      </c>
      <c r="H17" s="99">
        <f t="shared" si="3"/>
        <v>0</v>
      </c>
    </row>
    <row r="18" spans="1:12" ht="15" thickBot="1" x14ac:dyDescent="0.35">
      <c r="A18" s="10" t="s">
        <v>93</v>
      </c>
      <c r="B18" s="140">
        <v>0</v>
      </c>
      <c r="C18" s="140">
        <v>0</v>
      </c>
      <c r="D18" s="140">
        <f t="shared" si="2"/>
        <v>0</v>
      </c>
      <c r="E18" s="57">
        <f t="shared" si="0"/>
        <v>0</v>
      </c>
      <c r="F18" s="58">
        <f t="shared" si="4"/>
        <v>0</v>
      </c>
      <c r="G18" s="97">
        <f t="shared" si="1"/>
        <v>0</v>
      </c>
      <c r="H18" s="101">
        <f t="shared" si="3"/>
        <v>0</v>
      </c>
      <c r="L18">
        <f>212/755</f>
        <v>0.28079470198675499</v>
      </c>
    </row>
    <row r="19" spans="1:12" x14ac:dyDescent="0.3">
      <c r="A19" s="12" t="s">
        <v>12</v>
      </c>
      <c r="B19" s="50">
        <f>SUM(B9:B18)</f>
        <v>56199445.399999999</v>
      </c>
      <c r="C19" s="50">
        <f>SUM(C9:C18)</f>
        <v>2945360.96</v>
      </c>
      <c r="D19" s="50">
        <f>SUM(D9:D18)+755</f>
        <v>59145561.359999999</v>
      </c>
      <c r="E19" s="105"/>
      <c r="F19" s="55">
        <f>SUM(F9:F18)</f>
        <v>16601541.078269796</v>
      </c>
      <c r="G19" s="96">
        <f>SUM(G9:G18)</f>
        <v>16601541.078269796</v>
      </c>
      <c r="H19" s="102">
        <f>SUM(H9:H18)</f>
        <v>1.0000000047820741</v>
      </c>
    </row>
    <row r="21" spans="1:12" x14ac:dyDescent="0.3">
      <c r="A21" s="12" t="s">
        <v>97</v>
      </c>
      <c r="B21" s="137"/>
      <c r="C21" s="138">
        <f>B19+C19+755</f>
        <v>59145561.359999999</v>
      </c>
      <c r="D21" s="138"/>
      <c r="K21" s="41">
        <f>G19-A5</f>
        <v>7.9389797523617744E-2</v>
      </c>
    </row>
    <row r="22" spans="1:12" x14ac:dyDescent="0.3">
      <c r="A22" s="4" t="s">
        <v>98</v>
      </c>
      <c r="C22" s="40">
        <v>24238817.920000002</v>
      </c>
      <c r="D22" s="40"/>
      <c r="E22">
        <v>0.25</v>
      </c>
      <c r="F22" s="41">
        <f>C22*E22</f>
        <v>6059704.4800000004</v>
      </c>
    </row>
    <row r="23" spans="1:12" ht="28.8" x14ac:dyDescent="0.3">
      <c r="A23" s="4" t="s">
        <v>99</v>
      </c>
      <c r="C23" s="41">
        <f>C21-C22</f>
        <v>34906743.439999998</v>
      </c>
      <c r="D23" s="41"/>
      <c r="E23">
        <v>0.30199999999999999</v>
      </c>
      <c r="F23" s="139">
        <f>C23*E23</f>
        <v>10541836.518879998</v>
      </c>
      <c r="G23" s="139"/>
    </row>
    <row r="24" spans="1:12" ht="28.8" x14ac:dyDescent="0.3">
      <c r="A24" s="4" t="s">
        <v>103</v>
      </c>
      <c r="C24" s="40">
        <v>2021053</v>
      </c>
      <c r="E24">
        <v>0.30199999999999999</v>
      </c>
      <c r="F24" s="41">
        <f>C24*E24</f>
        <v>610358.00599999994</v>
      </c>
    </row>
    <row r="25" spans="1:12" x14ac:dyDescent="0.3">
      <c r="A25" s="146" t="s">
        <v>104</v>
      </c>
      <c r="C25" s="41">
        <v>1018890</v>
      </c>
      <c r="E25">
        <v>0.30199999999999999</v>
      </c>
      <c r="F25" s="41">
        <f>C25*E25</f>
        <v>307704.77999999997</v>
      </c>
    </row>
    <row r="26" spans="1:12" x14ac:dyDescent="0.3">
      <c r="A26" s="59"/>
    </row>
    <row r="27" spans="1:12" x14ac:dyDescent="0.3">
      <c r="A27" s="59"/>
    </row>
    <row r="28" spans="1:12" x14ac:dyDescent="0.3">
      <c r="A28" s="59"/>
    </row>
    <row r="29" spans="1:12" x14ac:dyDescent="0.3">
      <c r="A29" s="59"/>
    </row>
    <row r="30" spans="1:12" x14ac:dyDescent="0.3">
      <c r="A30" s="59"/>
    </row>
    <row r="31" spans="1:12" x14ac:dyDescent="0.3">
      <c r="A31" s="59"/>
    </row>
    <row r="32" spans="1:12" x14ac:dyDescent="0.3">
      <c r="A32" s="59"/>
    </row>
    <row r="33" spans="1:1" x14ac:dyDescent="0.3">
      <c r="A33" s="59"/>
    </row>
    <row r="34" spans="1:1" x14ac:dyDescent="0.3">
      <c r="A34" s="3"/>
    </row>
    <row r="35" spans="1:1" x14ac:dyDescent="0.3">
      <c r="A35" s="3"/>
    </row>
    <row r="36" spans="1:1" x14ac:dyDescent="0.3">
      <c r="A36" s="3"/>
    </row>
    <row r="37" spans="1:1" x14ac:dyDescent="0.3">
      <c r="A37" s="3"/>
    </row>
    <row r="38" spans="1:1" x14ac:dyDescent="0.3">
      <c r="A38" s="3"/>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E78C3-5EA7-4027-8EFA-5680E6BA93B4}">
  <dimension ref="A1:R31"/>
  <sheetViews>
    <sheetView workbookViewId="0">
      <selection activeCell="C14" sqref="C14"/>
    </sheetView>
  </sheetViews>
  <sheetFormatPr defaultRowHeight="14.4" x14ac:dyDescent="0.3"/>
  <cols>
    <col min="1" max="1" width="37.88671875" style="2" customWidth="1"/>
    <col min="3" max="3" width="16.33203125" customWidth="1"/>
    <col min="4" max="4" width="11.109375" customWidth="1"/>
    <col min="5" max="5" width="13.33203125" customWidth="1"/>
    <col min="9" max="9" width="13.88671875" customWidth="1"/>
    <col min="10" max="10" width="18.44140625" bestFit="1" customWidth="1"/>
    <col min="11" max="11" width="29.33203125" customWidth="1"/>
    <col min="13" max="13" width="25.33203125" bestFit="1" customWidth="1"/>
    <col min="14" max="14" width="16.5546875" bestFit="1" customWidth="1"/>
    <col min="15" max="15" width="8.44140625" customWidth="1"/>
  </cols>
  <sheetData>
    <row r="1" spans="1:18" s="7" customFormat="1" ht="48" x14ac:dyDescent="0.25">
      <c r="E1" s="7" t="s">
        <v>29</v>
      </c>
      <c r="F1" s="147" t="s">
        <v>30</v>
      </c>
      <c r="G1" s="147"/>
      <c r="H1" s="147"/>
      <c r="I1" s="9"/>
      <c r="J1" s="8"/>
    </row>
    <row r="2" spans="1:18" s="1" customFormat="1" ht="28.8" x14ac:dyDescent="0.3">
      <c r="A2" s="13" t="s">
        <v>0</v>
      </c>
      <c r="B2" s="14" t="s">
        <v>13</v>
      </c>
      <c r="C2" s="14" t="s">
        <v>11</v>
      </c>
      <c r="D2" s="14" t="s">
        <v>25</v>
      </c>
      <c r="E2" s="14" t="s">
        <v>26</v>
      </c>
      <c r="F2" s="14" t="s">
        <v>6</v>
      </c>
      <c r="G2" s="14" t="s">
        <v>7</v>
      </c>
      <c r="H2" s="14" t="s">
        <v>8</v>
      </c>
      <c r="I2" s="14" t="s">
        <v>27</v>
      </c>
      <c r="J2" s="14" t="s">
        <v>28</v>
      </c>
      <c r="K2" s="14" t="s">
        <v>10</v>
      </c>
    </row>
    <row r="3" spans="1:18" s="21" customFormat="1" ht="15" thickBot="1" x14ac:dyDescent="0.35">
      <c r="A3" s="6"/>
      <c r="B3" s="21" t="s">
        <v>14</v>
      </c>
      <c r="C3" s="21" t="s">
        <v>55</v>
      </c>
      <c r="D3" s="21" t="s">
        <v>14</v>
      </c>
      <c r="E3" s="21" t="s">
        <v>14</v>
      </c>
      <c r="F3" s="21" t="s">
        <v>14</v>
      </c>
      <c r="G3" s="21" t="s">
        <v>14</v>
      </c>
      <c r="H3" s="21" t="s">
        <v>14</v>
      </c>
      <c r="I3" s="21" t="s">
        <v>24</v>
      </c>
      <c r="J3" s="21" t="s">
        <v>24</v>
      </c>
    </row>
    <row r="4" spans="1:18" x14ac:dyDescent="0.3">
      <c r="A4" s="4" t="s">
        <v>1</v>
      </c>
      <c r="B4">
        <v>1848</v>
      </c>
      <c r="C4" s="19">
        <f>B4/(B4+B6)*100</f>
        <v>88.675623800383875</v>
      </c>
      <c r="D4">
        <v>8</v>
      </c>
      <c r="E4">
        <v>376</v>
      </c>
      <c r="F4">
        <v>1950</v>
      </c>
      <c r="G4">
        <v>493</v>
      </c>
      <c r="H4">
        <v>109</v>
      </c>
      <c r="I4">
        <v>9</v>
      </c>
      <c r="J4">
        <v>5</v>
      </c>
      <c r="K4" t="s">
        <v>56</v>
      </c>
    </row>
    <row r="5" spans="1:18" x14ac:dyDescent="0.3">
      <c r="A5" s="4" t="s">
        <v>2</v>
      </c>
      <c r="B5">
        <v>0</v>
      </c>
      <c r="C5" s="19">
        <v>0</v>
      </c>
      <c r="D5">
        <v>0</v>
      </c>
      <c r="E5">
        <v>0</v>
      </c>
      <c r="F5">
        <v>0</v>
      </c>
      <c r="G5">
        <v>0</v>
      </c>
      <c r="H5">
        <v>0</v>
      </c>
      <c r="I5">
        <v>0</v>
      </c>
      <c r="J5">
        <v>0</v>
      </c>
    </row>
    <row r="6" spans="1:18" x14ac:dyDescent="0.3">
      <c r="A6" s="4" t="s">
        <v>3</v>
      </c>
      <c r="B6">
        <v>236</v>
      </c>
      <c r="C6" s="19">
        <f>B6/(B6+B4)*100</f>
        <v>11.324376199616124</v>
      </c>
      <c r="D6">
        <v>0</v>
      </c>
      <c r="E6">
        <v>0</v>
      </c>
      <c r="F6">
        <v>201</v>
      </c>
      <c r="G6">
        <v>55</v>
      </c>
      <c r="H6">
        <v>53</v>
      </c>
      <c r="I6">
        <v>6</v>
      </c>
      <c r="J6">
        <v>5</v>
      </c>
      <c r="K6" t="s">
        <v>57</v>
      </c>
    </row>
    <row r="7" spans="1:18" x14ac:dyDescent="0.3">
      <c r="A7" s="4" t="s">
        <v>4</v>
      </c>
      <c r="B7">
        <v>0</v>
      </c>
      <c r="C7" s="19">
        <v>0</v>
      </c>
      <c r="D7">
        <v>0</v>
      </c>
      <c r="E7">
        <v>0</v>
      </c>
      <c r="F7">
        <v>0</v>
      </c>
      <c r="G7">
        <v>0</v>
      </c>
      <c r="H7">
        <v>0</v>
      </c>
      <c r="I7">
        <v>0</v>
      </c>
      <c r="J7">
        <v>0</v>
      </c>
    </row>
    <row r="8" spans="1:18" ht="15" thickBot="1" x14ac:dyDescent="0.35">
      <c r="A8" s="10" t="s">
        <v>5</v>
      </c>
      <c r="B8" s="11">
        <v>0</v>
      </c>
      <c r="C8" s="20">
        <v>0</v>
      </c>
      <c r="D8" s="11">
        <v>0</v>
      </c>
      <c r="E8" s="11">
        <v>0</v>
      </c>
      <c r="F8" s="11">
        <v>0</v>
      </c>
      <c r="G8" s="11">
        <v>0</v>
      </c>
      <c r="H8" s="11">
        <v>0</v>
      </c>
      <c r="I8" s="11">
        <v>0</v>
      </c>
      <c r="J8" s="11">
        <v>0</v>
      </c>
      <c r="K8" s="11"/>
    </row>
    <row r="9" spans="1:18" x14ac:dyDescent="0.3">
      <c r="A9" s="12"/>
    </row>
    <row r="12" spans="1:18" x14ac:dyDescent="0.3">
      <c r="M12" s="26"/>
      <c r="N12" s="148" t="s">
        <v>54</v>
      </c>
      <c r="O12" s="148"/>
      <c r="P12" s="148"/>
      <c r="Q12" s="148"/>
      <c r="R12" s="25"/>
    </row>
    <row r="13" spans="1:18" ht="15" thickBot="1" x14ac:dyDescent="0.35">
      <c r="M13" s="27" t="s">
        <v>34</v>
      </c>
      <c r="N13" s="27" t="s">
        <v>1</v>
      </c>
      <c r="O13" s="31" t="s">
        <v>52</v>
      </c>
      <c r="P13" s="27" t="s">
        <v>3</v>
      </c>
      <c r="Q13" s="31" t="s">
        <v>52</v>
      </c>
    </row>
    <row r="14" spans="1:18" ht="15" thickTop="1" x14ac:dyDescent="0.3">
      <c r="M14" s="24" t="s">
        <v>44</v>
      </c>
      <c r="O14" s="22"/>
      <c r="Q14" s="22"/>
    </row>
    <row r="15" spans="1:18" x14ac:dyDescent="0.3">
      <c r="A15" s="1" t="s">
        <v>9</v>
      </c>
      <c r="M15" t="s">
        <v>35</v>
      </c>
      <c r="N15" s="19">
        <v>798.55</v>
      </c>
      <c r="O15" s="32">
        <f>N15/(N15+P15)*100</f>
        <v>96.793939393939382</v>
      </c>
      <c r="P15" s="19">
        <v>26.45</v>
      </c>
      <c r="Q15" s="34">
        <f>P15/(N15+P15)*100</f>
        <v>3.2060606060606061</v>
      </c>
    </row>
    <row r="16" spans="1:18" ht="21.6" x14ac:dyDescent="0.3">
      <c r="A16" s="3" t="s">
        <v>31</v>
      </c>
      <c r="M16" t="s">
        <v>36</v>
      </c>
      <c r="N16" s="19">
        <v>966.74</v>
      </c>
      <c r="O16" s="32">
        <f t="shared" ref="O16:O30" si="0">N16/(N16+P16)*100</f>
        <v>84.739314890782239</v>
      </c>
      <c r="P16" s="19">
        <v>174.1</v>
      </c>
      <c r="Q16" s="34">
        <f t="shared" ref="Q16:Q31" si="1">P16/(N16+P16)*100</f>
        <v>15.26068510921777</v>
      </c>
    </row>
    <row r="17" spans="1:17" x14ac:dyDescent="0.3">
      <c r="A17" s="3" t="s">
        <v>32</v>
      </c>
      <c r="M17" t="s">
        <v>37</v>
      </c>
      <c r="N17" s="19">
        <v>183.94</v>
      </c>
      <c r="O17" s="32">
        <f t="shared" si="0"/>
        <v>100</v>
      </c>
      <c r="P17" s="19">
        <v>0</v>
      </c>
      <c r="Q17" s="34">
        <f t="shared" si="1"/>
        <v>0</v>
      </c>
    </row>
    <row r="18" spans="1:17" x14ac:dyDescent="0.3">
      <c r="A18" s="3" t="s">
        <v>33</v>
      </c>
      <c r="H18" t="s">
        <v>58</v>
      </c>
      <c r="I18" s="23" t="s">
        <v>52</v>
      </c>
      <c r="M18" t="s">
        <v>38</v>
      </c>
      <c r="N18" s="19">
        <v>275.77999999999997</v>
      </c>
      <c r="O18" s="32">
        <f t="shared" si="0"/>
        <v>89.626259343516395</v>
      </c>
      <c r="P18" s="19">
        <v>31.92</v>
      </c>
      <c r="Q18" s="34">
        <f t="shared" si="1"/>
        <v>10.373740656483589</v>
      </c>
    </row>
    <row r="19" spans="1:17" x14ac:dyDescent="0.3">
      <c r="A19" s="3"/>
      <c r="H19">
        <v>2552</v>
      </c>
      <c r="I19" s="19">
        <f>H19/H21*100</f>
        <v>89.199580566235582</v>
      </c>
      <c r="M19" t="s">
        <v>39</v>
      </c>
      <c r="N19" s="19">
        <v>229.37</v>
      </c>
      <c r="O19" s="32">
        <f t="shared" si="0"/>
        <v>100</v>
      </c>
      <c r="P19" s="19">
        <v>0</v>
      </c>
      <c r="Q19" s="34">
        <f t="shared" si="1"/>
        <v>0</v>
      </c>
    </row>
    <row r="20" spans="1:17" x14ac:dyDescent="0.3">
      <c r="A20" s="3"/>
      <c r="H20">
        <v>309</v>
      </c>
      <c r="I20" s="19">
        <f>H20/H21*100</f>
        <v>10.800419433764418</v>
      </c>
      <c r="M20" t="s">
        <v>40</v>
      </c>
      <c r="N20" s="19">
        <v>467.49</v>
      </c>
      <c r="O20" s="32">
        <f t="shared" si="0"/>
        <v>100</v>
      </c>
      <c r="P20" s="19">
        <v>0</v>
      </c>
      <c r="Q20" s="34">
        <f t="shared" si="1"/>
        <v>0</v>
      </c>
    </row>
    <row r="21" spans="1:17" x14ac:dyDescent="0.3">
      <c r="A21" s="3"/>
      <c r="H21">
        <f>SUM(H19:H20)</f>
        <v>2861</v>
      </c>
      <c r="M21" t="s">
        <v>41</v>
      </c>
      <c r="N21" s="19">
        <v>108.97</v>
      </c>
      <c r="O21" s="32">
        <f t="shared" si="0"/>
        <v>67.165927021696248</v>
      </c>
      <c r="P21" s="19">
        <v>53.27</v>
      </c>
      <c r="Q21" s="34">
        <f t="shared" si="1"/>
        <v>32.834072978303745</v>
      </c>
    </row>
    <row r="22" spans="1:17" x14ac:dyDescent="0.3">
      <c r="A22" s="3"/>
      <c r="M22" t="s">
        <v>42</v>
      </c>
      <c r="N22" s="19">
        <v>570.37199999999996</v>
      </c>
      <c r="O22" s="32">
        <f t="shared" si="0"/>
        <v>90.863790021697497</v>
      </c>
      <c r="P22" s="19">
        <v>57.35</v>
      </c>
      <c r="Q22" s="34">
        <f t="shared" si="1"/>
        <v>9.1362099783024977</v>
      </c>
    </row>
    <row r="23" spans="1:17" x14ac:dyDescent="0.3">
      <c r="A23" s="3"/>
      <c r="M23" t="s">
        <v>43</v>
      </c>
      <c r="N23" s="19">
        <v>1681.55</v>
      </c>
      <c r="O23" s="32">
        <f t="shared" si="0"/>
        <v>87.737468498411218</v>
      </c>
      <c r="P23" s="19">
        <v>235.02</v>
      </c>
      <c r="Q23" s="34">
        <f t="shared" si="1"/>
        <v>12.262531501588777</v>
      </c>
    </row>
    <row r="24" spans="1:17" x14ac:dyDescent="0.3">
      <c r="A24" s="3"/>
      <c r="M24" s="24" t="s">
        <v>45</v>
      </c>
      <c r="N24" s="19"/>
      <c r="O24" s="32"/>
      <c r="P24" s="19"/>
      <c r="Q24" s="34"/>
    </row>
    <row r="25" spans="1:17" x14ac:dyDescent="0.3">
      <c r="A25" s="3"/>
      <c r="M25" t="s">
        <v>46</v>
      </c>
      <c r="N25" s="19">
        <v>0</v>
      </c>
      <c r="O25" s="32">
        <f t="shared" si="0"/>
        <v>0</v>
      </c>
      <c r="P25" s="18">
        <v>0.01</v>
      </c>
      <c r="Q25" s="34">
        <f t="shared" si="1"/>
        <v>100</v>
      </c>
    </row>
    <row r="26" spans="1:17" x14ac:dyDescent="0.3">
      <c r="A26" s="3"/>
      <c r="M26" t="s">
        <v>47</v>
      </c>
      <c r="N26" s="19">
        <v>1598.91</v>
      </c>
      <c r="O26" s="32">
        <f t="shared" si="0"/>
        <v>93.749670186630397</v>
      </c>
      <c r="P26" s="19">
        <v>106.6</v>
      </c>
      <c r="Q26" s="34">
        <f t="shared" si="1"/>
        <v>6.2503298133696079</v>
      </c>
    </row>
    <row r="27" spans="1:17" x14ac:dyDescent="0.3">
      <c r="A27" s="3"/>
      <c r="M27" t="s">
        <v>48</v>
      </c>
      <c r="N27" s="19">
        <v>1517.15</v>
      </c>
      <c r="O27" s="32">
        <f t="shared" si="0"/>
        <v>97.89327655181313</v>
      </c>
      <c r="P27" s="19">
        <v>32.65</v>
      </c>
      <c r="Q27" s="34">
        <f t="shared" si="1"/>
        <v>2.1067234481868624</v>
      </c>
    </row>
    <row r="28" spans="1:17" x14ac:dyDescent="0.3">
      <c r="A28" s="3"/>
      <c r="M28" t="s">
        <v>49</v>
      </c>
      <c r="N28" s="19">
        <v>256.96499999999997</v>
      </c>
      <c r="O28" s="32">
        <f t="shared" si="0"/>
        <v>81.585255504579862</v>
      </c>
      <c r="P28" s="19">
        <v>58</v>
      </c>
      <c r="Q28" s="34">
        <f t="shared" si="1"/>
        <v>18.414744495420127</v>
      </c>
    </row>
    <row r="29" spans="1:17" x14ac:dyDescent="0.3">
      <c r="A29" s="3"/>
      <c r="M29" t="s">
        <v>50</v>
      </c>
      <c r="N29" s="19">
        <v>1.88</v>
      </c>
      <c r="O29" s="32">
        <f t="shared" si="0"/>
        <v>100</v>
      </c>
      <c r="P29" s="19">
        <v>0</v>
      </c>
      <c r="Q29" s="34">
        <f t="shared" si="1"/>
        <v>0</v>
      </c>
    </row>
    <row r="30" spans="1:17" x14ac:dyDescent="0.3">
      <c r="A30" s="3"/>
      <c r="M30" t="s">
        <v>51</v>
      </c>
      <c r="N30" s="19">
        <v>1827.87</v>
      </c>
      <c r="O30" s="32">
        <f t="shared" si="0"/>
        <v>88.607245175457734</v>
      </c>
      <c r="P30" s="19">
        <v>235.02</v>
      </c>
      <c r="Q30" s="34">
        <f t="shared" si="1"/>
        <v>11.392754824542269</v>
      </c>
    </row>
    <row r="31" spans="1:17" ht="15" thickBot="1" x14ac:dyDescent="0.35">
      <c r="M31" s="28" t="s">
        <v>53</v>
      </c>
      <c r="N31" s="29">
        <f>SUM(N15:N30)</f>
        <v>10485.537</v>
      </c>
      <c r="O31" s="33">
        <f>N31/(N31+P31)*100</f>
        <v>91.21088712550106</v>
      </c>
      <c r="P31" s="29">
        <f>SUM(P15:P30)</f>
        <v>1010.39</v>
      </c>
      <c r="Q31" s="35">
        <f t="shared" si="1"/>
        <v>8.789112874498942</v>
      </c>
    </row>
  </sheetData>
  <mergeCells count="2">
    <mergeCell ref="F1:H1"/>
    <mergeCell ref="N12:Q12"/>
  </mergeCells>
  <pageMargins left="0.7" right="0.7" top="0.75" bottom="0.75" header="0.3" footer="0.3"/>
  <pageSetup orientation="portrait" r:id="rId1"/>
  <ignoredErrors>
    <ignoredError sqref="O31"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341DB-0B2A-4F13-ADFB-737B2DD692A1}">
  <dimension ref="B2:K9"/>
  <sheetViews>
    <sheetView workbookViewId="0">
      <selection activeCell="C7" sqref="C7"/>
    </sheetView>
  </sheetViews>
  <sheetFormatPr defaultRowHeight="14.4" x14ac:dyDescent="0.3"/>
  <cols>
    <col min="2" max="2" width="32.33203125" bestFit="1" customWidth="1"/>
    <col min="3" max="3" width="16.6640625" bestFit="1" customWidth="1"/>
    <col min="4" max="4" width="7.88671875" customWidth="1"/>
    <col min="5" max="5" width="10.6640625" customWidth="1"/>
    <col min="7" max="7" width="10.6640625" customWidth="1"/>
    <col min="9" max="9" width="10.6640625" customWidth="1"/>
  </cols>
  <sheetData>
    <row r="2" spans="2:11" x14ac:dyDescent="0.3">
      <c r="B2" s="37"/>
      <c r="C2" s="149" t="s">
        <v>54</v>
      </c>
      <c r="D2" s="149"/>
      <c r="E2" s="149"/>
      <c r="F2" s="149"/>
      <c r="G2" s="149"/>
      <c r="H2" s="149"/>
      <c r="I2" s="149"/>
      <c r="J2" s="149"/>
    </row>
    <row r="3" spans="2:11" s="2" customFormat="1" ht="29.4" thickBot="1" x14ac:dyDescent="0.35">
      <c r="B3" s="30" t="s">
        <v>60</v>
      </c>
      <c r="C3" s="30" t="s">
        <v>1</v>
      </c>
      <c r="D3" s="36" t="s">
        <v>52</v>
      </c>
      <c r="E3" s="30" t="s">
        <v>2</v>
      </c>
      <c r="F3" s="36" t="s">
        <v>52</v>
      </c>
      <c r="G3" s="30" t="s">
        <v>59</v>
      </c>
      <c r="H3" s="36" t="s">
        <v>52</v>
      </c>
      <c r="I3" s="30" t="s">
        <v>5</v>
      </c>
      <c r="J3" s="36" t="s">
        <v>52</v>
      </c>
    </row>
    <row r="4" spans="2:11" ht="15" thickTop="1" x14ac:dyDescent="0.3">
      <c r="B4" s="24"/>
      <c r="D4" s="22"/>
      <c r="F4" s="22"/>
      <c r="H4" s="22"/>
      <c r="J4" s="22"/>
    </row>
    <row r="5" spans="2:11" x14ac:dyDescent="0.3">
      <c r="B5" t="s">
        <v>61</v>
      </c>
      <c r="C5" s="19">
        <v>120.35</v>
      </c>
      <c r="D5" s="32">
        <f>C5/(C5+E5+G5+I5)*100</f>
        <v>14.365689457601219</v>
      </c>
      <c r="E5" s="19">
        <v>384.36</v>
      </c>
      <c r="F5" s="32">
        <f>E5/(E5+C5+G5+I5)*100</f>
        <v>45.879488158899917</v>
      </c>
      <c r="G5" s="19">
        <v>31.19</v>
      </c>
      <c r="H5" s="32">
        <f>G5/(C5+E5+G5+I5)*100</f>
        <v>3.7230233002291819</v>
      </c>
      <c r="I5" s="19">
        <v>301.86</v>
      </c>
      <c r="J5" s="32">
        <f>I5/(C5+E5+G5+I5)*100</f>
        <v>36.031799083269668</v>
      </c>
      <c r="K5" s="19"/>
    </row>
    <row r="6" spans="2:11" x14ac:dyDescent="0.3">
      <c r="B6" t="s">
        <v>62</v>
      </c>
      <c r="C6" s="19">
        <v>589.03</v>
      </c>
      <c r="D6" s="32">
        <f t="shared" ref="D6:D8" si="0">C6/(C6+E6+G6+I6)*100</f>
        <v>99.998353251911553</v>
      </c>
      <c r="E6" s="18">
        <v>9.7000000000000003E-3</v>
      </c>
      <c r="F6" s="32">
        <f t="shared" ref="F6:F8" si="1">E6/(E6+C6+G6+I6)*100</f>
        <v>1.646748088456517E-3</v>
      </c>
      <c r="G6" s="19">
        <v>0</v>
      </c>
      <c r="H6" s="32">
        <f t="shared" ref="H6:H8" si="2">G6/(C6+E6+G6+I6)*100</f>
        <v>0</v>
      </c>
      <c r="I6" s="19">
        <v>0</v>
      </c>
      <c r="J6" s="32">
        <f t="shared" ref="J6:J8" si="3">I6/(C6+E6+G6+I6)*100</f>
        <v>0</v>
      </c>
      <c r="K6" s="19"/>
    </row>
    <row r="7" spans="2:11" x14ac:dyDescent="0.3">
      <c r="B7" t="s">
        <v>63</v>
      </c>
      <c r="C7" s="19">
        <v>27.39</v>
      </c>
      <c r="D7" s="32">
        <f t="shared" si="0"/>
        <v>75.788599889319315</v>
      </c>
      <c r="E7" s="19">
        <v>8.75</v>
      </c>
      <c r="F7" s="32">
        <f t="shared" si="1"/>
        <v>24.211400110680685</v>
      </c>
      <c r="G7" s="19">
        <v>0</v>
      </c>
      <c r="H7" s="32">
        <f t="shared" si="2"/>
        <v>0</v>
      </c>
      <c r="I7" s="19">
        <v>0</v>
      </c>
      <c r="J7" s="32">
        <f t="shared" si="3"/>
        <v>0</v>
      </c>
      <c r="K7" s="19"/>
    </row>
    <row r="8" spans="2:11" x14ac:dyDescent="0.3">
      <c r="B8" t="s">
        <v>64</v>
      </c>
      <c r="C8" s="19">
        <v>1.29</v>
      </c>
      <c r="D8" s="32">
        <f t="shared" si="0"/>
        <v>43.43434343434344</v>
      </c>
      <c r="E8" s="19">
        <v>0</v>
      </c>
      <c r="F8" s="32">
        <f t="shared" si="1"/>
        <v>0</v>
      </c>
      <c r="G8" s="19">
        <v>0</v>
      </c>
      <c r="H8" s="32">
        <f t="shared" si="2"/>
        <v>0</v>
      </c>
      <c r="I8" s="19">
        <v>1.68</v>
      </c>
      <c r="J8" s="32">
        <f t="shared" si="3"/>
        <v>56.56565656565656</v>
      </c>
      <c r="K8" s="19"/>
    </row>
    <row r="9" spans="2:11" ht="15" thickBot="1" x14ac:dyDescent="0.35">
      <c r="B9" s="28" t="s">
        <v>53</v>
      </c>
      <c r="C9" s="29">
        <f>SUM(C5:C8)</f>
        <v>738.06</v>
      </c>
      <c r="D9" s="43">
        <f>C9/(C9+E9+G9+I9)</f>
        <v>0.50348258149871028</v>
      </c>
      <c r="E9" s="29">
        <f>SUM(E5:E8)</f>
        <v>393.11970000000002</v>
      </c>
      <c r="F9" s="44">
        <f>E9/(C9+E9+G9+I9)</f>
        <v>0.26817456764219516</v>
      </c>
      <c r="G9" s="29">
        <f>SUM(G5:G8)</f>
        <v>31.19</v>
      </c>
      <c r="H9" s="44">
        <f>G9/(C9+E9+G9+I9)</f>
        <v>2.1276890384175781E-2</v>
      </c>
      <c r="I9" s="29">
        <f>SUM(I5:I8)</f>
        <v>303.54000000000002</v>
      </c>
      <c r="J9" s="44">
        <f>I9/(C9+E9+G9+I9)</f>
        <v>0.20706596047491876</v>
      </c>
      <c r="K9" s="19"/>
    </row>
  </sheetData>
  <mergeCells count="1">
    <mergeCell ref="C2:J2"/>
  </mergeCells>
  <pageMargins left="0.7" right="0.7" top="0.75" bottom="0.75" header="0.3" footer="0.3"/>
  <ignoredErrors>
    <ignoredError sqref="D9 F9 H9" formula="1"/>
  </ignoredErrors>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B2DBCC8A5E7ED47A7D5CBE7407F1D48" ma:contentTypeVersion="13" ma:contentTypeDescription="Create a new document." ma:contentTypeScope="" ma:versionID="305c1ba2f468622f35c5f5954654bda5">
  <xsd:schema xmlns:xsd="http://www.w3.org/2001/XMLSchema" xmlns:xs="http://www.w3.org/2001/XMLSchema" xmlns:p="http://schemas.microsoft.com/office/2006/metadata/properties" xmlns:ns3="fdc81ec3-f4f6-4609-b50f-04d22d16fef5" xmlns:ns4="c442bec3-5de2-4848-8046-1525657b99f6" targetNamespace="http://schemas.microsoft.com/office/2006/metadata/properties" ma:root="true" ma:fieldsID="7788c1fa55aa23e59e639c47c738cc5c" ns3:_="" ns4:_="">
    <xsd:import namespace="fdc81ec3-f4f6-4609-b50f-04d22d16fef5"/>
    <xsd:import namespace="c442bec3-5de2-4848-8046-1525657b99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81ec3-f4f6-4609-b50f-04d22d16fef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42bec3-5de2-4848-8046-1525657b99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9E9A2F-0E4D-477D-8401-5B505FA506C1}">
  <ds:schemaRefs>
    <ds:schemaRef ds:uri="http://purl.org/dc/terms/"/>
    <ds:schemaRef ds:uri="fdc81ec3-f4f6-4609-b50f-04d22d16fef5"/>
    <ds:schemaRef ds:uri="http://schemas.microsoft.com/office/2006/metadata/properties"/>
    <ds:schemaRef ds:uri="http://schemas.microsoft.com/office/2006/documentManagement/types"/>
    <ds:schemaRef ds:uri="http://purl.org/dc/elements/1.1/"/>
    <ds:schemaRef ds:uri="http://www.w3.org/XML/1998/namespace"/>
    <ds:schemaRef ds:uri="http://purl.org/dc/dcmitype/"/>
    <ds:schemaRef ds:uri="http://schemas.microsoft.com/office/infopath/2007/PartnerControls"/>
    <ds:schemaRef ds:uri="http://schemas.openxmlformats.org/package/2006/metadata/core-properties"/>
    <ds:schemaRef ds:uri="c442bec3-5de2-4848-8046-1525657b99f6"/>
  </ds:schemaRefs>
</ds:datastoreItem>
</file>

<file path=customXml/itemProps2.xml><?xml version="1.0" encoding="utf-8"?>
<ds:datastoreItem xmlns:ds="http://schemas.openxmlformats.org/officeDocument/2006/customXml" ds:itemID="{7ACC1DA4-7676-46E7-A2D1-5F667EF9C2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81ec3-f4f6-4609-b50f-04d22d16fef5"/>
    <ds:schemaRef ds:uri="c442bec3-5de2-4848-8046-1525657b9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B6A450-5F06-468B-818C-F148598145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ALT_1_Allocat. by Acre</vt:lpstr>
      <vt:lpstr>ALT_2_Allocat by Acre, all JDs</vt:lpstr>
      <vt:lpstr>ALT_3_Allocat by Contribution</vt:lpstr>
      <vt:lpstr>HMA Mgmt Activities</vt:lpstr>
      <vt:lpstr>Dev Parcel Habitat Cover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Gabbe, Aaron</dc:creator>
  <cp:lastModifiedBy>Gabbe, Aaron</cp:lastModifiedBy>
  <dcterms:created xsi:type="dcterms:W3CDTF">2020-03-03T16:49:23Z</dcterms:created>
  <dcterms:modified xsi:type="dcterms:W3CDTF">2020-03-13T03:24:36Z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0x0101002B2DBCC8A5E7ED47A7D5CBE7407F1D48</vt:lpwstr>
  </property>
  <property fmtid="{D5CDD505-2E9C-101B-9397-08002B2CF9AE}" pid="3" name="_dlc_DocIdItemGuid">
    <vt:lpwstr>e40dc263-a144-47c5-ac3b-6472499293c4</vt:lpwstr>
  </property>
</Properties>
</file>